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2120" windowHeight="10530"/>
  </bookViews>
  <sheets>
    <sheet name="Storage Calculation" sheetId="1" r:id="rId1"/>
    <sheet name="Storage Days Calculation" sheetId="4" r:id="rId2"/>
    <sheet name="NVR Worksheet" sheetId="9" r:id="rId3"/>
    <sheet name="Data" sheetId="11" state="hidden" r:id="rId4"/>
  </sheets>
  <definedNames>
    <definedName name="_xlnm.Print_Area" localSheetId="0">'Storage Calculation'!$A$1:$E$35</definedName>
    <definedName name="_xlnm.Print_Area" localSheetId="1">'Storage Days Calculation'!$A$1:$E$35</definedName>
  </definedNames>
  <calcPr calcId="145621"/>
</workbook>
</file>

<file path=xl/calcChain.xml><?xml version="1.0" encoding="utf-8"?>
<calcChain xmlns="http://schemas.openxmlformats.org/spreadsheetml/2006/main">
  <c r="C1" i="9" l="1"/>
  <c r="B16" i="1"/>
  <c r="G1" i="1" l="1"/>
  <c r="G18" i="1"/>
  <c r="G17" i="1"/>
  <c r="G16" i="1"/>
  <c r="G15" i="1"/>
  <c r="G14" i="1"/>
  <c r="G13" i="1"/>
  <c r="G12" i="1"/>
  <c r="G11" i="1"/>
  <c r="G2" i="1"/>
  <c r="G8" i="1"/>
  <c r="G7" i="1"/>
  <c r="G6" i="1"/>
  <c r="G5" i="1"/>
  <c r="G4" i="1"/>
  <c r="G3" i="1"/>
  <c r="D21" i="1" l="1"/>
  <c r="B22" i="1" s="1"/>
  <c r="M54" i="9"/>
  <c r="H54" i="1"/>
  <c r="T8" i="11" l="1"/>
  <c r="D18" i="4"/>
  <c r="D15" i="4"/>
  <c r="H54" i="4" s="1"/>
  <c r="D13" i="4"/>
  <c r="D9" i="4"/>
  <c r="D7" i="4"/>
  <c r="D5" i="4"/>
  <c r="Y22" i="4" s="1"/>
  <c r="D3" i="4"/>
  <c r="F3" i="9"/>
  <c r="AD52" i="9"/>
  <c r="AD47" i="9"/>
  <c r="AD42" i="9"/>
  <c r="AD37" i="9"/>
  <c r="AC52" i="9"/>
  <c r="AC47" i="9"/>
  <c r="AC42" i="9"/>
  <c r="AC37" i="9"/>
  <c r="D10" i="1"/>
  <c r="Y24" i="1"/>
  <c r="X24" i="1"/>
  <c r="AB52" i="9"/>
  <c r="AB47" i="9"/>
  <c r="AB42" i="9"/>
  <c r="AB37" i="9"/>
  <c r="G17" i="4" l="1"/>
  <c r="G13" i="4"/>
  <c r="G5" i="4"/>
  <c r="G1" i="4"/>
  <c r="G16" i="4"/>
  <c r="G12" i="4"/>
  <c r="G8" i="4"/>
  <c r="G4" i="4"/>
  <c r="G15" i="4"/>
  <c r="G11" i="4"/>
  <c r="G7" i="4"/>
  <c r="G3" i="4"/>
  <c r="G18" i="4"/>
  <c r="G14" i="4"/>
  <c r="G6" i="4"/>
  <c r="G2" i="4"/>
  <c r="D21" i="4"/>
  <c r="W24" i="1"/>
  <c r="V24" i="1"/>
  <c r="U24" i="1"/>
  <c r="T24" i="1"/>
  <c r="S24" i="1"/>
  <c r="R24" i="1"/>
  <c r="Q24" i="1"/>
  <c r="P24" i="1"/>
  <c r="O24" i="1"/>
  <c r="N24" i="1"/>
  <c r="M24" i="1"/>
  <c r="L24" i="1"/>
  <c r="K24" i="1"/>
  <c r="J24" i="1"/>
  <c r="L17" i="9" l="1"/>
  <c r="L12" i="9"/>
  <c r="L5" i="9"/>
  <c r="L1" i="9"/>
  <c r="L16" i="9"/>
  <c r="L13" i="9"/>
  <c r="L8" i="9"/>
  <c r="L4" i="9"/>
  <c r="L15" i="9"/>
  <c r="L11" i="9"/>
  <c r="L7" i="9"/>
  <c r="L3" i="9"/>
  <c r="L18" i="9"/>
  <c r="L14" i="9"/>
  <c r="L6" i="9"/>
  <c r="L2" i="9"/>
  <c r="D19" i="1"/>
  <c r="F47" i="9" l="1"/>
  <c r="F34" i="9"/>
  <c r="F21" i="9"/>
  <c r="F60" i="9"/>
  <c r="B9" i="9"/>
  <c r="B12" i="9" s="1"/>
  <c r="H5" i="9"/>
  <c r="B6" i="9"/>
  <c r="C3" i="9"/>
  <c r="V32" i="9" s="1"/>
  <c r="F59" i="9"/>
  <c r="F46" i="9"/>
  <c r="F33" i="9"/>
  <c r="B25" i="9"/>
  <c r="B38" i="9"/>
  <c r="B51" i="9"/>
  <c r="B64" i="9"/>
  <c r="O37" i="9"/>
  <c r="P37" i="9"/>
  <c r="Q37" i="9"/>
  <c r="R37" i="9"/>
  <c r="S37" i="9"/>
  <c r="T37" i="9"/>
  <c r="U37" i="9"/>
  <c r="V37" i="9"/>
  <c r="W37" i="9"/>
  <c r="X37" i="9"/>
  <c r="Y37" i="9"/>
  <c r="Z37" i="9"/>
  <c r="AA37" i="9"/>
  <c r="O42" i="9"/>
  <c r="P42" i="9"/>
  <c r="Q42" i="9"/>
  <c r="R42" i="9"/>
  <c r="S42" i="9"/>
  <c r="T42" i="9"/>
  <c r="U42" i="9"/>
  <c r="V42" i="9"/>
  <c r="W42" i="9"/>
  <c r="X42" i="9"/>
  <c r="Y42" i="9"/>
  <c r="Z42" i="9"/>
  <c r="AA42" i="9"/>
  <c r="O47" i="9"/>
  <c r="P47" i="9"/>
  <c r="Q47" i="9"/>
  <c r="R47" i="9"/>
  <c r="S47" i="9"/>
  <c r="T47" i="9"/>
  <c r="U47" i="9"/>
  <c r="V47" i="9"/>
  <c r="W47" i="9"/>
  <c r="X47" i="9"/>
  <c r="Y47" i="9"/>
  <c r="Z47" i="9"/>
  <c r="AA47" i="9"/>
  <c r="O52" i="9"/>
  <c r="P52" i="9"/>
  <c r="Q52" i="9"/>
  <c r="R52" i="9"/>
  <c r="S52" i="9"/>
  <c r="T52" i="9"/>
  <c r="U52" i="9"/>
  <c r="V52" i="9"/>
  <c r="W52" i="9"/>
  <c r="X52" i="9"/>
  <c r="Y52" i="9"/>
  <c r="Z52" i="9"/>
  <c r="AA52" i="9"/>
  <c r="E3" i="9"/>
  <c r="D3" i="9"/>
  <c r="V22" i="4"/>
  <c r="I7" i="9"/>
  <c r="I6" i="9"/>
  <c r="O22" i="4"/>
  <c r="J22" i="4"/>
  <c r="M22" i="4"/>
  <c r="Z32" i="9"/>
  <c r="H3" i="9" l="1"/>
  <c r="I3" i="9" s="1"/>
  <c r="G15" i="9" s="1"/>
  <c r="F8" i="9"/>
  <c r="F30" i="9"/>
  <c r="F17" i="9"/>
  <c r="F56" i="9"/>
  <c r="F43" i="9"/>
  <c r="W32" i="9"/>
  <c r="R32" i="9"/>
  <c r="S32" i="9"/>
  <c r="AA32" i="9"/>
  <c r="AD32" i="9"/>
  <c r="G13" i="9"/>
  <c r="I5" i="9"/>
  <c r="AC32" i="9"/>
  <c r="D10" i="4"/>
  <c r="X22" i="4"/>
  <c r="W22" i="4"/>
  <c r="O32" i="9"/>
  <c r="AB32" i="9"/>
  <c r="K22" i="4"/>
  <c r="N22" i="4"/>
  <c r="Q22" i="4"/>
  <c r="T22" i="4"/>
  <c r="R22" i="4"/>
  <c r="S22" i="4"/>
  <c r="U22" i="4"/>
  <c r="Q32" i="9"/>
  <c r="U32" i="9"/>
  <c r="Y32" i="9"/>
  <c r="P32" i="9"/>
  <c r="T32" i="9"/>
  <c r="X32" i="9"/>
  <c r="P22" i="4"/>
  <c r="L22" i="4"/>
  <c r="F63" i="9"/>
  <c r="F65" i="9" s="1"/>
  <c r="F37" i="9"/>
  <c r="F39" i="9" s="1"/>
  <c r="F4" i="9" l="1"/>
  <c r="D19" i="4"/>
  <c r="B22" i="4" s="1"/>
  <c r="F57" i="9"/>
  <c r="F61" i="9" s="1"/>
  <c r="F31" i="9"/>
  <c r="F32" i="9" s="1"/>
  <c r="D17" i="1"/>
  <c r="D27" i="1"/>
  <c r="F18" i="9"/>
  <c r="F19" i="9" s="1"/>
  <c r="F50" i="9"/>
  <c r="F52" i="9" s="1"/>
  <c r="F44" i="9"/>
  <c r="F48" i="9" s="1"/>
  <c r="F49" i="9" s="1"/>
  <c r="F35" i="9"/>
  <c r="F58" i="9"/>
  <c r="F64" i="9" l="1"/>
  <c r="F38" i="9"/>
  <c r="D23" i="11"/>
  <c r="F45" i="9"/>
  <c r="F62" i="9"/>
  <c r="F66" i="9" s="1"/>
  <c r="F36" i="9"/>
  <c r="F40" i="9" s="1"/>
  <c r="D23" i="1"/>
  <c r="D25" i="1" s="1"/>
  <c r="F5" i="9"/>
  <c r="F6" i="9" s="1"/>
  <c r="D27" i="4"/>
  <c r="G12" i="9"/>
  <c r="F20" i="9"/>
  <c r="F22" i="9" s="1"/>
  <c r="F24" i="9"/>
  <c r="F26" i="9" s="1"/>
  <c r="F51" i="9"/>
  <c r="F53" i="9"/>
  <c r="F7" i="9"/>
  <c r="D11" i="4" l="1"/>
  <c r="D12" i="4" s="1"/>
  <c r="D26" i="1"/>
  <c r="F9" i="9"/>
  <c r="F10" i="9" s="1"/>
  <c r="F23" i="9"/>
  <c r="F27" i="9" s="1"/>
  <c r="F25" i="9"/>
  <c r="F11" i="9"/>
  <c r="F12" i="9" l="1"/>
  <c r="F13" i="9" s="1"/>
  <c r="F14" i="9" s="1"/>
  <c r="H4" i="9" s="1"/>
  <c r="D23" i="4"/>
  <c r="D17" i="4" s="1"/>
  <c r="D25" i="4"/>
  <c r="F8" i="11" l="1"/>
  <c r="L19" i="11"/>
  <c r="K19" i="11"/>
  <c r="V8" i="11"/>
  <c r="I19" i="11"/>
  <c r="G29" i="11"/>
  <c r="H19" i="11"/>
  <c r="F29" i="11"/>
  <c r="F43" i="11" s="1"/>
  <c r="J19" i="11"/>
  <c r="U8" i="11"/>
  <c r="S8" i="11"/>
  <c r="Q8" i="11"/>
  <c r="O8" i="11"/>
  <c r="M8" i="11"/>
  <c r="K8" i="11"/>
  <c r="H8" i="11" s="1"/>
  <c r="E8" i="11"/>
  <c r="C8" i="11"/>
  <c r="F19" i="11"/>
  <c r="D19" i="11"/>
  <c r="B19" i="11"/>
  <c r="W8" i="11"/>
  <c r="R8" i="11"/>
  <c r="P8" i="11"/>
  <c r="N8" i="11"/>
  <c r="L8" i="11"/>
  <c r="I8" i="11" s="1"/>
  <c r="J8" i="11"/>
  <c r="D8" i="11"/>
  <c r="B8" i="11"/>
  <c r="G19" i="11"/>
  <c r="E19" i="11"/>
  <c r="C19" i="11"/>
  <c r="C29" i="11"/>
  <c r="B29" i="11"/>
  <c r="G14" i="9"/>
  <c r="D24" i="11"/>
  <c r="G8" i="11" l="1"/>
  <c r="X8" i="11" s="1"/>
  <c r="H9" i="9"/>
  <c r="B37" i="11" s="1"/>
  <c r="M19" i="11"/>
  <c r="I9" i="9"/>
  <c r="B44" i="11" s="1"/>
  <c r="Z8" i="11"/>
  <c r="Y8" i="11"/>
  <c r="H8" i="9" l="1"/>
  <c r="D43" i="11"/>
  <c r="F44" i="11"/>
  <c r="B43" i="11"/>
  <c r="D44" i="11"/>
  <c r="E43" i="11"/>
  <c r="C44" i="11"/>
  <c r="E44" i="11"/>
  <c r="C43" i="11"/>
  <c r="E36" i="11"/>
  <c r="G44" i="11" l="1"/>
  <c r="F28" i="11"/>
  <c r="G43" i="11"/>
  <c r="F45" i="11"/>
  <c r="C36" i="11"/>
  <c r="F37" i="11"/>
  <c r="D37" i="11"/>
  <c r="F36" i="11"/>
  <c r="D36" i="11"/>
  <c r="B36" i="11"/>
  <c r="E37" i="11"/>
  <c r="C37" i="11"/>
  <c r="E45" i="11"/>
  <c r="G37" i="11" l="1"/>
  <c r="G36" i="11"/>
  <c r="H43" i="11"/>
  <c r="I10" i="9" s="1"/>
  <c r="H29" i="11"/>
  <c r="I29" i="11"/>
  <c r="H36" i="11" l="1"/>
  <c r="H10" i="9" s="1"/>
  <c r="C45" i="11"/>
  <c r="D45" i="11" l="1"/>
  <c r="B45" i="11"/>
  <c r="I4" i="9" s="1"/>
  <c r="I11" i="9" l="1"/>
  <c r="I8" i="9" l="1"/>
</calcChain>
</file>

<file path=xl/sharedStrings.xml><?xml version="1.0" encoding="utf-8"?>
<sst xmlns="http://schemas.openxmlformats.org/spreadsheetml/2006/main" count="705" uniqueCount="192">
  <si>
    <t>Camera Selection</t>
  </si>
  <si>
    <t>File Size Data in kB</t>
  </si>
  <si>
    <t>8MP (6400x1200)</t>
  </si>
  <si>
    <t>Busy (kB)</t>
  </si>
  <si>
    <t>2M</t>
  </si>
  <si>
    <t>3M-1</t>
  </si>
  <si>
    <t>3M-2</t>
  </si>
  <si>
    <t>3M-3</t>
  </si>
  <si>
    <t>5M</t>
  </si>
  <si>
    <t>8M</t>
  </si>
  <si>
    <t>2MP (1600x1200)</t>
  </si>
  <si>
    <t>High Comp</t>
  </si>
  <si>
    <t>Codec:</t>
  </si>
  <si>
    <t>Med Comp</t>
  </si>
  <si>
    <t>Low Comp</t>
  </si>
  <si>
    <t>Frames Per Second:</t>
  </si>
  <si>
    <t>Medium (kB)</t>
  </si>
  <si>
    <t>8MP</t>
  </si>
  <si>
    <t>Numbers of Days of Storage:</t>
  </si>
  <si>
    <t>5MP (2596x1944)</t>
  </si>
  <si>
    <t>Compression</t>
  </si>
  <si>
    <t>Numbers of Cameras:</t>
  </si>
  <si>
    <t>Quiet (kB)</t>
  </si>
  <si>
    <t>Quality</t>
  </si>
  <si>
    <t>Max Compression (Lowest Quality)</t>
  </si>
  <si>
    <t>Med Compression (Medium Quality)</t>
  </si>
  <si>
    <t>Storage Size per camera:</t>
  </si>
  <si>
    <t>Min Compression (Highest Quality)</t>
  </si>
  <si>
    <t>Hard Driver Size</t>
  </si>
  <si>
    <t>Hard Drive Requirements</t>
  </si>
  <si>
    <t>Numbers of Required Volumes:</t>
  </si>
  <si>
    <t>Numbers of HDDs per Volume:</t>
  </si>
  <si>
    <t>Detail of Image</t>
  </si>
  <si>
    <t>Total Required HDDs:</t>
  </si>
  <si>
    <t>Quiet (Office environment)</t>
  </si>
  <si>
    <t>Medium (Parking Lot/Atrium)</t>
  </si>
  <si>
    <t>Maximum Channels per Volume:</t>
  </si>
  <si>
    <t>Busy (Outdoor, Trees &amp; Grass)</t>
  </si>
  <si>
    <t>** Increased motion activitiy causes H.264 file sizes to increase **</t>
  </si>
  <si>
    <t>% Motion Activity</t>
  </si>
  <si>
    <t>**  This is for estimating purposes.  Actual results may vary.  **</t>
  </si>
  <si>
    <t>1.3MP (1280x1024)</t>
    <phoneticPr fontId="11" type="noConversion"/>
  </si>
  <si>
    <t>MPEG4</t>
    <phoneticPr fontId="11" type="noConversion"/>
  </si>
  <si>
    <t>H.264</t>
    <phoneticPr fontId="11" type="noConversion"/>
  </si>
  <si>
    <t>JPEG</t>
    <phoneticPr fontId="11" type="noConversion"/>
  </si>
  <si>
    <t>VGA</t>
    <phoneticPr fontId="11" type="noConversion"/>
  </si>
  <si>
    <t>VGA</t>
    <phoneticPr fontId="11" type="noConversion"/>
  </si>
  <si>
    <t>1.3M</t>
    <phoneticPr fontId="11" type="noConversion"/>
  </si>
  <si>
    <t>1.3M</t>
    <phoneticPr fontId="11" type="noConversion"/>
  </si>
  <si>
    <t>Numbers of HDDs:</t>
    <phoneticPr fontId="11" type="noConversion"/>
  </si>
  <si>
    <t>Number of days of Storage:</t>
    <phoneticPr fontId="11" type="noConversion"/>
  </si>
  <si>
    <t>Numbers of HDDs per Volume:</t>
    <phoneticPr fontId="11" type="noConversion"/>
  </si>
  <si>
    <t>D1</t>
    <phoneticPr fontId="11" type="noConversion"/>
  </si>
  <si>
    <t>D1 (720x480)</t>
    <phoneticPr fontId="11" type="noConversion"/>
  </si>
  <si>
    <t>4CIF</t>
    <phoneticPr fontId="11" type="noConversion"/>
  </si>
  <si>
    <t>2CIF</t>
    <phoneticPr fontId="11" type="noConversion"/>
  </si>
  <si>
    <t>CIF</t>
    <phoneticPr fontId="11" type="noConversion"/>
  </si>
  <si>
    <t>CIF (352x240)</t>
    <phoneticPr fontId="11" type="noConversion"/>
  </si>
  <si>
    <t>2CIF (704x240)</t>
    <phoneticPr fontId="11" type="noConversion"/>
  </si>
  <si>
    <t>4CIF (704x480)</t>
    <phoneticPr fontId="11" type="noConversion"/>
  </si>
  <si>
    <t>VGA (640x480)</t>
  </si>
  <si>
    <t>"*3MP" This resolution is supported by 3MP cameras.</t>
    <phoneticPr fontId="12" type="noConversion"/>
  </si>
  <si>
    <t>H.264</t>
  </si>
  <si>
    <t>Camera Types</t>
  </si>
  <si>
    <t>NO RAID</t>
  </si>
  <si>
    <t>RAID-5</t>
  </si>
  <si>
    <t>Total Channel</t>
  </si>
  <si>
    <t>Bit Rate (Mb/s)</t>
  </si>
  <si>
    <t>1 camera recording per 24 hrs (GB/day)</t>
  </si>
  <si>
    <t># of camera</t>
  </si>
  <si>
    <t>camera (s) recording per 24 hrs (GB/day)</t>
  </si>
  <si>
    <t>Recording hours per days</t>
  </si>
  <si>
    <t># of camera per volume</t>
  </si>
  <si>
    <t>Motion recording (%)</t>
  </si>
  <si>
    <t>GVD Volume required</t>
  </si>
  <si>
    <t>days of storage required (GB/day per volume)</t>
  </si>
  <si>
    <t>HDD required for each volume</t>
  </si>
  <si>
    <t># of camera on the last volume</t>
  </si>
  <si>
    <t>days of storage required (GB/day on last volume)</t>
  </si>
  <si>
    <t>HDD required for last volume</t>
  </si>
  <si>
    <t>Total HDD required</t>
  </si>
  <si>
    <t>MJPEG</t>
    <phoneticPr fontId="11" type="noConversion"/>
  </si>
  <si>
    <t>No RAID</t>
    <phoneticPr fontId="11" type="noConversion"/>
  </si>
  <si>
    <t>Support HDD Number</t>
    <phoneticPr fontId="11" type="noConversion"/>
  </si>
  <si>
    <t>Number Channel</t>
    <phoneticPr fontId="11" type="noConversion"/>
  </si>
  <si>
    <t>Model Name-1</t>
    <phoneticPr fontId="11" type="noConversion"/>
  </si>
  <si>
    <t>M640-C064</t>
    <phoneticPr fontId="11" type="noConversion"/>
  </si>
  <si>
    <t>M630-C048</t>
    <phoneticPr fontId="11" type="noConversion"/>
  </si>
  <si>
    <t>M620-C040</t>
    <phoneticPr fontId="11" type="noConversion"/>
  </si>
  <si>
    <t>M610-C032</t>
    <phoneticPr fontId="11" type="noConversion"/>
  </si>
  <si>
    <t>M350-C032</t>
    <phoneticPr fontId="11" type="noConversion"/>
  </si>
  <si>
    <t>M200-C024</t>
    <phoneticPr fontId="11" type="noConversion"/>
  </si>
  <si>
    <t>M200-C016</t>
    <phoneticPr fontId="11" type="noConversion"/>
  </si>
  <si>
    <t>RAID Supported</t>
    <phoneticPr fontId="11" type="noConversion"/>
  </si>
  <si>
    <t>Front Pannel</t>
    <phoneticPr fontId="11" type="noConversion"/>
  </si>
  <si>
    <t>Model Name-2</t>
    <phoneticPr fontId="11" type="noConversion"/>
  </si>
  <si>
    <t>Resolut</t>
    <phoneticPr fontId="11" type="noConversion"/>
  </si>
  <si>
    <t>M610-C032AR</t>
    <phoneticPr fontId="11" type="noConversion"/>
  </si>
  <si>
    <t>M350-C024AR</t>
    <phoneticPr fontId="11" type="noConversion"/>
  </si>
  <si>
    <t>No</t>
    <phoneticPr fontId="11" type="noConversion"/>
  </si>
  <si>
    <t>Yes</t>
    <phoneticPr fontId="11" type="noConversion"/>
  </si>
  <si>
    <t>1.3MP (1280x1024)</t>
  </si>
  <si>
    <t>CIF</t>
    <phoneticPr fontId="11" type="noConversion"/>
  </si>
  <si>
    <t>2CIF</t>
    <phoneticPr fontId="11" type="noConversion"/>
  </si>
  <si>
    <t>4CIF</t>
    <phoneticPr fontId="11" type="noConversion"/>
  </si>
  <si>
    <t>VGA</t>
    <phoneticPr fontId="11" type="noConversion"/>
  </si>
  <si>
    <t>D1</t>
    <phoneticPr fontId="11" type="noConversion"/>
  </si>
  <si>
    <t>1.3M</t>
    <phoneticPr fontId="11" type="noConversion"/>
  </si>
  <si>
    <t>The M100 series cannot support more than 2MP camera, please select another NVR model.</t>
    <phoneticPr fontId="14" type="noConversion"/>
  </si>
  <si>
    <t>Camera Resolution:</t>
    <phoneticPr fontId="11" type="noConversion"/>
  </si>
  <si>
    <t>Camera Resolution:</t>
    <phoneticPr fontId="12" type="noConversion"/>
  </si>
  <si>
    <t>Hard Drive Size(GB):</t>
    <phoneticPr fontId="12" type="noConversion"/>
  </si>
  <si>
    <t>1MP (1280x720)</t>
    <phoneticPr fontId="11" type="noConversion"/>
  </si>
  <si>
    <t>1.0M</t>
    <phoneticPr fontId="11" type="noConversion"/>
  </si>
  <si>
    <t>M90-C004</t>
    <phoneticPr fontId="14" type="noConversion"/>
  </si>
  <si>
    <t>M200-C024AR</t>
    <phoneticPr fontId="11" type="noConversion"/>
  </si>
  <si>
    <t>M350-C024</t>
    <phoneticPr fontId="11" type="noConversion"/>
  </si>
  <si>
    <t>M350-C016</t>
    <phoneticPr fontId="11" type="noConversion"/>
  </si>
  <si>
    <t>M200-C032</t>
    <phoneticPr fontId="11" type="noConversion"/>
  </si>
  <si>
    <t>SVGA</t>
    <phoneticPr fontId="11" type="noConversion"/>
  </si>
  <si>
    <t>SVGA (800x600)</t>
    <phoneticPr fontId="11" type="noConversion"/>
  </si>
  <si>
    <t>Suggested Extend Storage Model</t>
  </si>
  <si>
    <t>M840 x 1</t>
  </si>
  <si>
    <t>M840 x 2</t>
  </si>
  <si>
    <t>M830 x 1</t>
  </si>
  <si>
    <t>M830 x 2</t>
  </si>
  <si>
    <t>M640-C064-JB</t>
  </si>
  <si>
    <t>M630-C048-JB</t>
  </si>
  <si>
    <t>RAID</t>
  </si>
  <si>
    <t>Suggested NVR Model</t>
  </si>
  <si>
    <t>GVD</t>
  </si>
  <si>
    <t>M800 Series no raid</t>
  </si>
  <si>
    <t>M800 Series raid</t>
  </si>
  <si>
    <t>Suggested RAID Set Quantity</t>
  </si>
  <si>
    <t>Support HDD Number-1</t>
  </si>
  <si>
    <t>Support HDD Number-2</t>
  </si>
  <si>
    <t>Model Name</t>
  </si>
  <si>
    <t>NVR Models</t>
  </si>
  <si>
    <t>Enterprise</t>
  </si>
  <si>
    <t>Standalone</t>
  </si>
  <si>
    <t>Storage and Bandwidth Calculator for GVD HD NVR</t>
  </si>
  <si>
    <t>NVR Model Group:</t>
  </si>
  <si>
    <t>Suggested Front panel Supported NVR Model</t>
  </si>
  <si>
    <t>M830 x 1 + M840 x 1</t>
  </si>
  <si>
    <t>Resolut-1</t>
  </si>
  <si>
    <t>Resolut-2</t>
  </si>
  <si>
    <t>Total HDD Required for the System</t>
  </si>
  <si>
    <t>10MP (3648x2752)</t>
  </si>
  <si>
    <t>3MP (2048x1536)</t>
  </si>
  <si>
    <t>2MP (1920x1080)</t>
  </si>
  <si>
    <t>*3MP (1920x1200)</t>
  </si>
  <si>
    <t>2M-1</t>
  </si>
  <si>
    <t>10M</t>
  </si>
  <si>
    <t>10MP</t>
  </si>
  <si>
    <t>20M</t>
  </si>
  <si>
    <t>20MP (10240x7680)</t>
  </si>
  <si>
    <t>20MP</t>
  </si>
  <si>
    <t>(Seagate 1TB) ST1000NM0011</t>
  </si>
  <si>
    <t>(Seagate 2TB) ST2000NM0011</t>
  </si>
  <si>
    <t>(Seagate 2TB) ST32000644NS</t>
  </si>
  <si>
    <t>(Seagate 2TB) ST32000641AS</t>
  </si>
  <si>
    <t>(WD 1TB) WD1003FBYX</t>
  </si>
  <si>
    <t>(WD 2TB) WD20002FAEX</t>
  </si>
  <si>
    <t>(WD 2TB) WD20003FYYS</t>
  </si>
  <si>
    <t>Hard Drive Size(GB) &amp; Model:</t>
  </si>
  <si>
    <t>HDD size (GB) &amp; Model</t>
  </si>
  <si>
    <t>Calculate Bit Rate per camera:</t>
  </si>
  <si>
    <t>***Customize Bit Rate Per Camera:</t>
  </si>
  <si>
    <t>***  If user input the "Customize Bit Rate Per Camera" value that this tool will based on input value for calculate required storage size. If user doesn't want use the value, please reset it to "0"!!  ***</t>
  </si>
  <si>
    <t>M109-C012</t>
  </si>
  <si>
    <t>M109-C008</t>
  </si>
  <si>
    <t>M106-C004</t>
  </si>
  <si>
    <t>M106-C008</t>
  </si>
  <si>
    <t>M106-C012</t>
  </si>
  <si>
    <t>(Seagate 3TB) ST33000651NS</t>
  </si>
  <si>
    <t>(Seagate 3TB) ST3000VX000</t>
  </si>
  <si>
    <t>Storage and Bandwidth Calculator for New GVD HD NVR</t>
  </si>
  <si>
    <t>NVR Group</t>
  </si>
  <si>
    <t>New Enterprise Models</t>
  </si>
  <si>
    <t>M645-C128-JB</t>
  </si>
  <si>
    <t>M635-C064-JB</t>
  </si>
  <si>
    <t>M645-C128</t>
  </si>
  <si>
    <t>M635-C064</t>
  </si>
  <si>
    <t>M625-C048</t>
  </si>
  <si>
    <t>M640-C064</t>
  </si>
  <si>
    <t>M630-C048</t>
  </si>
  <si>
    <t>M620-C040</t>
  </si>
  <si>
    <t>M455-C032AR</t>
  </si>
  <si>
    <t>M455-C032</t>
  </si>
  <si>
    <t>M455-C024</t>
  </si>
  <si>
    <t>M455-C016</t>
  </si>
  <si>
    <t>M455-C048</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</si>
</sst>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_(\$* #,##0.00_);_(\$* \(#,##0.00\);_(\$* \-??_);_(@_)"/>
    <numFmt numFmtId="165" formatCode="#&quot; days&quot;"/>
    <numFmt numFmtId="166" formatCode="###,###,###&quot; GB of Storage&quot;"/>
    <numFmt numFmtId="167" formatCode="#0.00&quot; Mbps&quot;"/>
    <numFmt numFmtId="168" formatCode="#&quot; cameras&quot;"/>
    <numFmt numFmtId="169" formatCode="##&quot; volumes&quot;"/>
    <numFmt numFmtId="170" formatCode="###,###,###&quot; GB of HDD&quot;"/>
    <numFmt numFmtId="171" formatCode="##&quot; HDDs&quot;"/>
    <numFmt numFmtId="172" formatCode="##&quot; Channels&quot;"/>
    <numFmt numFmtId="173" formatCode="##&quot; FPS&quot;"/>
    <numFmt numFmtId="174" formatCode="#&quot; hours&quot;"/>
    <numFmt numFmtId="175" formatCode="#&quot; %&quot;"/>
  </numFmts>
  <fonts count="35">
    <font>
      <sz val="12"/>
      <color theme="1"/>
      <name val="Calibri"/>
      <family val="1"/>
      <charset val="136"/>
      <scheme val="minor"/>
    </font>
    <font>
      <sz val="10"/>
      <name val="Arial"/>
      <family val="2"/>
    </font>
    <font>
      <sz val="11"/>
      <color indexed="8"/>
      <name val="Calibri"/>
      <family val="2"/>
    </font>
    <font>
      <sz val="12"/>
      <name val="Century Gothic"/>
      <family val="2"/>
    </font>
    <font>
      <b/>
      <sz val="12"/>
      <name val="Century Gothic"/>
      <family val="2"/>
    </font>
    <font>
      <sz val="12"/>
      <color indexed="10"/>
      <name val="Century Gothic"/>
      <family val="2"/>
    </font>
    <font>
      <i/>
      <sz val="12"/>
      <name val="Century Gothic"/>
      <family val="2"/>
    </font>
    <font>
      <i/>
      <sz val="12"/>
      <color indexed="10"/>
      <name val="Century Gothic"/>
      <family val="2"/>
    </font>
    <font>
      <b/>
      <i/>
      <sz val="12"/>
      <name val="Century Gothic"/>
      <family val="2"/>
    </font>
    <font>
      <sz val="12"/>
      <color indexed="18"/>
      <name val="Century Gothic"/>
      <family val="2"/>
    </font>
    <font>
      <b/>
      <sz val="20"/>
      <name val="Century Gothic"/>
      <family val="2"/>
    </font>
    <font>
      <sz val="9"/>
      <name val="新細明體"/>
      <family val="1"/>
      <charset val="136"/>
    </font>
    <font>
      <sz val="9"/>
      <name val="新細明體"/>
      <family val="1"/>
      <charset val="136"/>
    </font>
    <font>
      <sz val="12"/>
      <name val="Arial"/>
      <family val="2"/>
    </font>
    <font>
      <sz val="9"/>
      <name val="新細明體"/>
      <family val="1"/>
      <charset val="136"/>
    </font>
    <font>
      <b/>
      <i/>
      <sz val="20"/>
      <name val="Century Gothic"/>
      <family val="2"/>
    </font>
    <font>
      <b/>
      <sz val="12"/>
      <color theme="1"/>
      <name val="Calibri"/>
      <family val="1"/>
      <charset val="136"/>
      <scheme val="minor"/>
    </font>
    <font>
      <b/>
      <sz val="11"/>
      <color theme="1"/>
      <name val="Calibri"/>
      <family val="1"/>
      <charset val="136"/>
      <scheme val="minor"/>
    </font>
    <font>
      <sz val="12"/>
      <color rgb="FFFF0000"/>
      <name val="Century Gothic"/>
      <family val="2"/>
    </font>
    <font>
      <sz val="10"/>
      <color rgb="FFFF0000"/>
      <name val="Arial"/>
      <family val="2"/>
    </font>
    <font>
      <sz val="12"/>
      <color theme="1"/>
      <name val="Century Gothic"/>
      <family val="2"/>
    </font>
    <font>
      <sz val="16"/>
      <name val="Century Gothic"/>
      <family val="2"/>
    </font>
    <font>
      <sz val="12"/>
      <color theme="1"/>
      <name val="Calibri"/>
      <family val="2"/>
      <scheme val="minor"/>
    </font>
    <font>
      <b/>
      <sz val="16"/>
      <color theme="1"/>
      <name val="Century Gothic"/>
      <family val="2"/>
    </font>
    <font>
      <b/>
      <sz val="11"/>
      <color theme="1"/>
      <name val="Century Gothic"/>
      <family val="2"/>
    </font>
    <font>
      <b/>
      <sz val="18"/>
      <color theme="1"/>
      <name val="Century Gothic"/>
      <family val="2"/>
    </font>
    <font>
      <b/>
      <sz val="12"/>
      <color theme="1"/>
      <name val="Century Gothic"/>
      <family val="2"/>
    </font>
    <font>
      <b/>
      <sz val="12"/>
      <color rgb="FFFF0000"/>
      <name val="Century Gothic"/>
      <family val="2"/>
    </font>
    <font>
      <b/>
      <sz val="14"/>
      <color theme="1"/>
      <name val="Century Gothic"/>
      <family val="2"/>
    </font>
    <font>
      <sz val="14"/>
      <name val="Century Gothic"/>
      <family val="2"/>
    </font>
    <font>
      <b/>
      <i/>
      <sz val="12"/>
      <color rgb="FFFF0000"/>
      <name val="Century Gothic"/>
      <family val="2"/>
    </font>
    <font>
      <b/>
      <sz val="16"/>
      <color rgb="FFFF0000"/>
      <name val="Century Gothic"/>
      <family val="2"/>
    </font>
    <font>
      <b/>
      <sz val="11"/>
      <color rgb="FFFF0000"/>
      <name val="Century Gothic"/>
      <family val="2"/>
    </font>
    <font>
      <b/>
      <sz val="10"/>
      <color theme="1"/>
      <name val="Century Gothic"/>
      <family val="2"/>
    </font>
    <font>
      <b/>
      <sz val="10"/>
      <color rgb="FFFF0000"/>
      <name val="Arial"/>
      <family val="2"/>
    </font>
  </fonts>
  <fills count="12">
    <fill>
      <patternFill patternType="none"/>
    </fill>
    <fill>
      <patternFill patternType="gray125"/>
    </fill>
    <fill>
      <patternFill patternType="solid">
        <fgColor indexed="26"/>
        <bgColor indexed="9"/>
      </patternFill>
    </fill>
    <fill>
      <patternFill patternType="solid">
        <fgColor indexed="31"/>
        <bgColor indexed="42"/>
      </patternFill>
    </fill>
    <fill>
      <patternFill patternType="solid">
        <fgColor rgb="FFFFFF00"/>
        <bgColor indexed="23"/>
      </patternFill>
    </fill>
    <fill>
      <patternFill patternType="solid">
        <fgColor rgb="FFCCFFCC"/>
        <bgColor indexed="42"/>
      </patternFill>
    </fill>
    <fill>
      <patternFill patternType="solid">
        <fgColor rgb="FFCCFFCC"/>
        <bgColor indexed="64"/>
      </patternFill>
    </fill>
    <fill>
      <patternFill patternType="solid">
        <fgColor theme="0" tint="-0.14999847407452621"/>
        <bgColor indexed="55"/>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14999847407452621"/>
        <bgColor indexed="42"/>
      </patternFill>
    </fill>
  </fills>
  <borders count="55">
    <border>
      <left/>
      <right/>
      <top/>
      <bottom/>
      <diagonal/>
    </border>
    <border>
      <left style="thin">
        <color indexed="22"/>
      </left>
      <right style="thin">
        <color indexed="22"/>
      </right>
      <top style="thin">
        <color indexed="22"/>
      </top>
      <bottom style="thin">
        <color indexed="22"/>
      </bottom>
      <diagonal/>
    </border>
    <border>
      <left style="double">
        <color indexed="8"/>
      </left>
      <right/>
      <top/>
      <bottom/>
      <diagonal/>
    </border>
    <border>
      <left style="thin">
        <color indexed="8"/>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double">
        <color indexed="8"/>
      </right>
      <top style="hair">
        <color indexed="8"/>
      </top>
      <bottom style="hair">
        <color indexed="8"/>
      </bottom>
      <diagonal/>
    </border>
    <border>
      <left style="thin">
        <color indexed="8"/>
      </left>
      <right/>
      <top/>
      <bottom style="double">
        <color indexed="8"/>
      </bottom>
      <diagonal/>
    </border>
    <border>
      <left style="hair">
        <color indexed="8"/>
      </left>
      <right style="hair">
        <color indexed="8"/>
      </right>
      <top style="hair">
        <color indexed="8"/>
      </top>
      <bottom style="double">
        <color indexed="8"/>
      </bottom>
      <diagonal/>
    </border>
    <border>
      <left style="hair">
        <color indexed="8"/>
      </left>
      <right/>
      <top style="hair">
        <color indexed="8"/>
      </top>
      <bottom style="double">
        <color indexed="8"/>
      </bottom>
      <diagonal/>
    </border>
    <border>
      <left style="hair">
        <color indexed="8"/>
      </left>
      <right style="double">
        <color indexed="8"/>
      </right>
      <top style="hair">
        <color indexed="8"/>
      </top>
      <bottom style="double">
        <color indexed="8"/>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thin">
        <color indexed="8"/>
      </left>
      <right/>
      <top style="thin">
        <color indexed="8"/>
      </top>
      <bottom/>
      <diagonal/>
    </border>
    <border>
      <left/>
      <right/>
      <top style="thin">
        <color indexed="8"/>
      </top>
      <bottom/>
      <diagonal/>
    </border>
    <border>
      <left/>
      <right style="double">
        <color indexed="8"/>
      </right>
      <top style="thin">
        <color indexed="8"/>
      </top>
      <bottom/>
      <diagonal/>
    </border>
    <border>
      <left/>
      <right style="double">
        <color indexed="8"/>
      </right>
      <top/>
      <bottom/>
      <diagonal/>
    </border>
    <border>
      <left style="hair">
        <color indexed="8"/>
      </left>
      <right style="hair">
        <color indexed="8"/>
      </right>
      <top style="thin">
        <color indexed="8"/>
      </top>
      <bottom style="hair">
        <color indexed="8"/>
      </bottom>
      <diagonal/>
    </border>
    <border>
      <left style="hair">
        <color indexed="8"/>
      </left>
      <right/>
      <top style="thin">
        <color indexed="8"/>
      </top>
      <bottom style="hair">
        <color indexed="8"/>
      </bottom>
      <diagonal/>
    </border>
    <border>
      <left style="hair">
        <color indexed="8"/>
      </left>
      <right style="double">
        <color indexed="8"/>
      </right>
      <top style="thin">
        <color indexed="8"/>
      </top>
      <bottom style="hair">
        <color indexed="8"/>
      </bottom>
      <diagonal/>
    </border>
    <border>
      <left style="thin">
        <color indexed="8"/>
      </left>
      <right/>
      <top/>
      <bottom style="thin">
        <color indexed="8"/>
      </bottom>
      <diagonal/>
    </border>
    <border>
      <left style="hair">
        <color indexed="8"/>
      </left>
      <right style="hair">
        <color indexed="8"/>
      </right>
      <top style="hair">
        <color indexed="8"/>
      </top>
      <bottom style="thin">
        <color indexed="8"/>
      </bottom>
      <diagonal/>
    </border>
    <border>
      <left style="hair">
        <color indexed="8"/>
      </left>
      <right/>
      <top style="hair">
        <color indexed="8"/>
      </top>
      <bottom style="thin">
        <color indexed="8"/>
      </bottom>
      <diagonal/>
    </border>
    <border>
      <left style="hair">
        <color indexed="8"/>
      </left>
      <right style="double">
        <color indexed="8"/>
      </right>
      <top style="hair">
        <color indexed="8"/>
      </top>
      <bottom style="thin">
        <color indexed="8"/>
      </bottom>
      <diagonal/>
    </border>
    <border>
      <left style="hair">
        <color indexed="8"/>
      </left>
      <right/>
      <top style="thin">
        <color indexed="64"/>
      </top>
      <bottom style="hair">
        <color indexed="8"/>
      </bottom>
      <diagonal/>
    </border>
    <border>
      <left style="hair">
        <color indexed="8"/>
      </left>
      <right style="double">
        <color indexed="8"/>
      </right>
      <top style="thin">
        <color indexed="64"/>
      </top>
      <bottom style="hair">
        <color indexed="8"/>
      </bottom>
      <diagonal/>
    </border>
    <border>
      <left style="medium">
        <color indexed="8"/>
      </left>
      <right/>
      <top style="thick">
        <color indexed="8"/>
      </top>
      <bottom/>
      <diagonal/>
    </border>
    <border>
      <left/>
      <right/>
      <top style="thick">
        <color indexed="8"/>
      </top>
      <bottom/>
      <diagonal/>
    </border>
    <border>
      <left/>
      <right style="medium">
        <color indexed="8"/>
      </right>
      <top style="thick">
        <color indexed="8"/>
      </top>
      <bottom/>
      <diagonal/>
    </border>
    <border>
      <left style="medium">
        <color indexed="8"/>
      </left>
      <right/>
      <top/>
      <bottom/>
      <diagonal/>
    </border>
    <border>
      <left/>
      <right style="medium">
        <color indexed="8"/>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8"/>
      </left>
      <right style="thin">
        <color indexed="8"/>
      </right>
      <top/>
      <bottom style="double">
        <color indexed="64"/>
      </bottom>
      <diagonal/>
    </border>
    <border>
      <left style="double">
        <color indexed="64"/>
      </left>
      <right/>
      <top/>
      <bottom/>
      <diagonal/>
    </border>
    <border>
      <left style="thin">
        <color indexed="64"/>
      </left>
      <right style="hair">
        <color indexed="8"/>
      </right>
      <top/>
      <bottom/>
      <diagonal/>
    </border>
    <border>
      <left style="thin">
        <color indexed="64"/>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thick">
        <color indexed="8"/>
      </bottom>
      <diagonal/>
    </border>
    <border>
      <left style="medium">
        <color indexed="8"/>
      </left>
      <right style="medium">
        <color indexed="8"/>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s>
  <cellStyleXfs count="7">
    <xf numFmtId="0" fontId="0" fillId="0" borderId="0">
      <alignment vertical="center"/>
    </xf>
    <xf numFmtId="164" fontId="2" fillId="0" borderId="0"/>
    <xf numFmtId="0" fontId="2" fillId="0" borderId="0"/>
    <xf numFmtId="0" fontId="1" fillId="0" borderId="0"/>
    <xf numFmtId="0" fontId="2" fillId="2" borderId="1"/>
    <xf numFmtId="9" fontId="2" fillId="0" borderId="0"/>
    <xf numFmtId="0" fontId="1" fillId="0" borderId="0"/>
  </cellStyleXfs>
  <cellXfs count="217">
    <xf numFmtId="0" fontId="0" fillId="0" borderId="0" xfId="0">
      <alignment vertical="center"/>
    </xf>
    <xf numFmtId="0" fontId="1" fillId="0" borderId="0" xfId="6"/>
    <xf numFmtId="0" fontId="3" fillId="3" borderId="0" xfId="3" applyFont="1" applyFill="1" applyProtection="1">
      <protection hidden="1"/>
    </xf>
    <xf numFmtId="0" fontId="0" fillId="0" borderId="0" xfId="0" applyAlignment="1">
      <alignment horizontal="center" vertical="center"/>
    </xf>
    <xf numFmtId="0" fontId="1" fillId="0" borderId="0" xfId="6" applyAlignment="1">
      <alignment horizontal="center" vertical="center"/>
    </xf>
    <xf numFmtId="0" fontId="1" fillId="0" borderId="0" xfId="6" applyAlignment="1">
      <alignment horizontal="right" vertical="center"/>
    </xf>
    <xf numFmtId="0" fontId="0" fillId="0" borderId="0" xfId="0" applyAlignment="1">
      <alignment horizontal="right" vertical="center"/>
    </xf>
    <xf numFmtId="167" fontId="3" fillId="4" borderId="0" xfId="3" applyNumberFormat="1" applyFont="1" applyFill="1" applyBorder="1" applyAlignment="1" applyProtection="1">
      <alignment horizontal="center" vertical="center"/>
      <protection hidden="1"/>
    </xf>
    <xf numFmtId="169" fontId="3" fillId="4" borderId="0" xfId="3" applyNumberFormat="1" applyFont="1" applyFill="1" applyBorder="1" applyAlignment="1" applyProtection="1">
      <alignment horizontal="center" vertical="center"/>
      <protection hidden="1"/>
    </xf>
    <xf numFmtId="171" fontId="3" fillId="4" borderId="0" xfId="3" applyNumberFormat="1" applyFont="1" applyFill="1" applyBorder="1" applyAlignment="1" applyProtection="1">
      <alignment horizontal="center" vertical="center"/>
      <protection hidden="1"/>
    </xf>
    <xf numFmtId="172" fontId="3" fillId="4" borderId="0" xfId="3" applyNumberFormat="1" applyFont="1" applyFill="1" applyBorder="1" applyAlignment="1" applyProtection="1">
      <alignment horizontal="center" vertical="center"/>
      <protection hidden="1"/>
    </xf>
    <xf numFmtId="166" fontId="3" fillId="4" borderId="0" xfId="3" applyNumberFormat="1" applyFont="1" applyFill="1" applyBorder="1" applyAlignment="1" applyProtection="1">
      <alignment horizontal="center" vertical="center"/>
      <protection hidden="1"/>
    </xf>
    <xf numFmtId="0" fontId="3" fillId="0" borderId="0" xfId="3" applyFont="1" applyFill="1" applyProtection="1">
      <protection hidden="1"/>
    </xf>
    <xf numFmtId="0" fontId="3" fillId="0" borderId="0" xfId="3" applyFont="1" applyFill="1" applyAlignment="1" applyProtection="1">
      <alignment horizontal="right" vertical="center"/>
      <protection hidden="1"/>
    </xf>
    <xf numFmtId="0" fontId="3" fillId="0" borderId="0" xfId="3" applyFont="1" applyFill="1" applyAlignment="1" applyProtection="1">
      <alignment horizontal="center" vertical="center"/>
      <protection hidden="1"/>
    </xf>
    <xf numFmtId="0" fontId="1" fillId="0" borderId="0" xfId="6" applyFill="1"/>
    <xf numFmtId="0" fontId="3" fillId="0" borderId="2" xfId="3" applyFont="1" applyFill="1" applyBorder="1" applyProtection="1">
      <protection hidden="1"/>
    </xf>
    <xf numFmtId="0" fontId="3" fillId="0" borderId="3" xfId="3" applyFont="1" applyFill="1" applyBorder="1" applyProtection="1">
      <protection hidden="1"/>
    </xf>
    <xf numFmtId="1" fontId="3" fillId="0" borderId="4" xfId="3" applyNumberFormat="1" applyFont="1" applyFill="1" applyBorder="1" applyProtection="1">
      <protection hidden="1"/>
    </xf>
    <xf numFmtId="0" fontId="3" fillId="0" borderId="5" xfId="3" applyFont="1" applyFill="1" applyBorder="1" applyProtection="1">
      <protection hidden="1"/>
    </xf>
    <xf numFmtId="0" fontId="3" fillId="0" borderId="6" xfId="3" applyFont="1" applyFill="1" applyBorder="1" applyProtection="1">
      <protection hidden="1"/>
    </xf>
    <xf numFmtId="0" fontId="0" fillId="0" borderId="0" xfId="0" applyFill="1">
      <alignment vertical="center"/>
    </xf>
    <xf numFmtId="0" fontId="3" fillId="0" borderId="7" xfId="3" applyFont="1" applyFill="1" applyBorder="1" applyProtection="1">
      <protection hidden="1"/>
    </xf>
    <xf numFmtId="1" fontId="3" fillId="0" borderId="8" xfId="3" applyNumberFormat="1" applyFont="1" applyFill="1" applyBorder="1" applyProtection="1">
      <protection hidden="1"/>
    </xf>
    <xf numFmtId="0" fontId="3" fillId="0" borderId="9" xfId="3" applyFont="1" applyFill="1" applyBorder="1" applyProtection="1">
      <protection hidden="1"/>
    </xf>
    <xf numFmtId="0" fontId="3" fillId="0" borderId="10" xfId="3" applyFont="1" applyFill="1" applyBorder="1" applyProtection="1">
      <protection hidden="1"/>
    </xf>
    <xf numFmtId="0" fontId="1" fillId="0" borderId="0" xfId="6" applyFill="1" applyAlignment="1">
      <alignment horizontal="right" vertical="center"/>
    </xf>
    <xf numFmtId="0" fontId="1" fillId="0" borderId="0" xfId="6" applyFill="1" applyAlignment="1">
      <alignment horizontal="center" vertical="center"/>
    </xf>
    <xf numFmtId="0" fontId="4" fillId="0" borderId="11" xfId="3" applyFont="1" applyFill="1" applyBorder="1" applyProtection="1">
      <protection hidden="1"/>
    </xf>
    <xf numFmtId="0" fontId="4" fillId="0" borderId="12" xfId="3" applyFont="1" applyFill="1" applyBorder="1" applyProtection="1">
      <protection hidden="1"/>
    </xf>
    <xf numFmtId="1" fontId="3" fillId="0" borderId="12" xfId="3" applyNumberFormat="1" applyFont="1" applyFill="1" applyBorder="1" applyProtection="1">
      <protection hidden="1"/>
    </xf>
    <xf numFmtId="0" fontId="3" fillId="0" borderId="12" xfId="3" applyFont="1" applyFill="1" applyBorder="1" applyProtection="1">
      <protection hidden="1"/>
    </xf>
    <xf numFmtId="0" fontId="3" fillId="0" borderId="13" xfId="3" applyFont="1" applyFill="1" applyBorder="1" applyProtection="1">
      <protection hidden="1"/>
    </xf>
    <xf numFmtId="0" fontId="5" fillId="0" borderId="14" xfId="3" applyFont="1" applyFill="1" applyBorder="1" applyProtection="1">
      <protection hidden="1"/>
    </xf>
    <xf numFmtId="1" fontId="3" fillId="0" borderId="15" xfId="3" applyNumberFormat="1" applyFont="1" applyFill="1" applyBorder="1" applyAlignment="1" applyProtection="1">
      <alignment horizontal="center"/>
      <protection hidden="1"/>
    </xf>
    <xf numFmtId="1" fontId="3" fillId="0" borderId="16" xfId="3" applyNumberFormat="1" applyFont="1" applyFill="1" applyBorder="1" applyAlignment="1" applyProtection="1">
      <alignment horizontal="center"/>
      <protection hidden="1"/>
    </xf>
    <xf numFmtId="0" fontId="3" fillId="0" borderId="17" xfId="3" applyFont="1" applyFill="1" applyBorder="1" applyProtection="1">
      <protection hidden="1"/>
    </xf>
    <xf numFmtId="1" fontId="3" fillId="0" borderId="18" xfId="3" applyNumberFormat="1" applyFont="1" applyFill="1" applyBorder="1" applyProtection="1">
      <protection hidden="1"/>
    </xf>
    <xf numFmtId="0" fontId="3" fillId="0" borderId="19" xfId="3" applyFont="1" applyFill="1" applyBorder="1" applyProtection="1">
      <protection hidden="1"/>
    </xf>
    <xf numFmtId="1" fontId="3" fillId="0" borderId="18" xfId="3" applyNumberFormat="1" applyFont="1" applyFill="1" applyBorder="1" applyProtection="1">
      <protection locked="0"/>
    </xf>
    <xf numFmtId="0" fontId="3" fillId="0" borderId="20" xfId="3" applyFont="1" applyFill="1" applyBorder="1" applyProtection="1">
      <protection locked="0"/>
    </xf>
    <xf numFmtId="1" fontId="3" fillId="0" borderId="4" xfId="3" applyNumberFormat="1" applyFont="1" applyFill="1" applyBorder="1" applyProtection="1">
      <protection locked="0"/>
    </xf>
    <xf numFmtId="0" fontId="3" fillId="0" borderId="6" xfId="3" applyFont="1" applyFill="1" applyBorder="1" applyProtection="1">
      <protection locked="0"/>
    </xf>
    <xf numFmtId="0" fontId="3" fillId="0" borderId="21" xfId="3" applyFont="1" applyFill="1" applyBorder="1" applyProtection="1">
      <protection hidden="1"/>
    </xf>
    <xf numFmtId="1" fontId="3" fillId="0" borderId="22" xfId="3" applyNumberFormat="1" applyFont="1" applyFill="1" applyBorder="1" applyProtection="1">
      <protection hidden="1"/>
    </xf>
    <xf numFmtId="0" fontId="3" fillId="0" borderId="23" xfId="3" applyFont="1" applyFill="1" applyBorder="1" applyProtection="1">
      <protection hidden="1"/>
    </xf>
    <xf numFmtId="1" fontId="3" fillId="0" borderId="22" xfId="3" applyNumberFormat="1" applyFont="1" applyFill="1" applyBorder="1" applyProtection="1">
      <protection locked="0"/>
    </xf>
    <xf numFmtId="0" fontId="3" fillId="0" borderId="24" xfId="3" applyFont="1" applyFill="1" applyBorder="1" applyProtection="1">
      <protection locked="0"/>
    </xf>
    <xf numFmtId="0" fontId="3" fillId="0" borderId="0" xfId="3" applyFont="1" applyFill="1" applyBorder="1" applyProtection="1">
      <protection hidden="1"/>
    </xf>
    <xf numFmtId="1" fontId="3" fillId="0" borderId="0" xfId="3" applyNumberFormat="1" applyFont="1" applyFill="1" applyBorder="1" applyProtection="1">
      <protection hidden="1"/>
    </xf>
    <xf numFmtId="1" fontId="3" fillId="0" borderId="0" xfId="3" applyNumberFormat="1" applyFont="1" applyFill="1" applyBorder="1" applyProtection="1">
      <protection locked="0"/>
    </xf>
    <xf numFmtId="0" fontId="3" fillId="0" borderId="17" xfId="3" applyFont="1" applyFill="1" applyBorder="1" applyProtection="1">
      <protection locked="0"/>
    </xf>
    <xf numFmtId="1" fontId="3" fillId="0" borderId="16" xfId="3" applyNumberFormat="1" applyFont="1" applyFill="1" applyBorder="1" applyAlignment="1" applyProtection="1">
      <alignment horizontal="center"/>
      <protection locked="0"/>
    </xf>
    <xf numFmtId="0" fontId="4" fillId="0" borderId="2" xfId="3" applyFont="1" applyFill="1" applyBorder="1" applyProtection="1">
      <protection hidden="1"/>
    </xf>
    <xf numFmtId="1" fontId="3" fillId="0" borderId="0" xfId="5" applyNumberFormat="1" applyFont="1" applyFill="1" applyBorder="1" applyAlignment="1" applyProtection="1">
      <protection hidden="1"/>
    </xf>
    <xf numFmtId="0" fontId="3" fillId="0" borderId="2" xfId="3" applyFont="1" applyFill="1" applyBorder="1" applyAlignment="1" applyProtection="1">
      <alignment horizontal="left"/>
      <protection hidden="1"/>
    </xf>
    <xf numFmtId="0" fontId="4" fillId="0" borderId="0" xfId="3" applyFont="1" applyFill="1" applyBorder="1" applyProtection="1">
      <protection hidden="1"/>
    </xf>
    <xf numFmtId="1" fontId="3" fillId="0" borderId="6" xfId="3" applyNumberFormat="1" applyFont="1" applyFill="1" applyBorder="1" applyProtection="1">
      <protection hidden="1"/>
    </xf>
    <xf numFmtId="1" fontId="3" fillId="0" borderId="24" xfId="3" applyNumberFormat="1" applyFont="1" applyFill="1" applyBorder="1" applyProtection="1">
      <protection hidden="1"/>
    </xf>
    <xf numFmtId="0" fontId="4" fillId="0" borderId="2" xfId="3" applyFont="1" applyFill="1" applyBorder="1" applyAlignment="1" applyProtection="1">
      <alignment horizontal="left"/>
      <protection hidden="1"/>
    </xf>
    <xf numFmtId="0" fontId="3" fillId="0" borderId="25" xfId="3" applyFont="1" applyFill="1" applyBorder="1" applyProtection="1">
      <protection hidden="1"/>
    </xf>
    <xf numFmtId="0" fontId="3" fillId="0" borderId="26" xfId="3" applyFont="1" applyFill="1" applyBorder="1" applyProtection="1">
      <protection hidden="1"/>
    </xf>
    <xf numFmtId="9" fontId="3" fillId="0" borderId="2" xfId="5" applyFont="1" applyFill="1" applyBorder="1" applyAlignment="1" applyProtection="1">
      <alignment horizontal="left"/>
      <protection hidden="1"/>
    </xf>
    <xf numFmtId="0" fontId="3" fillId="0" borderId="24" xfId="3" applyFont="1" applyFill="1" applyBorder="1" applyProtection="1">
      <protection hidden="1"/>
    </xf>
    <xf numFmtId="0" fontId="3" fillId="0" borderId="20" xfId="3" applyFont="1" applyFill="1" applyBorder="1" applyProtection="1">
      <protection hidden="1"/>
    </xf>
    <xf numFmtId="0" fontId="3" fillId="5" borderId="27" xfId="3" applyFont="1" applyFill="1" applyBorder="1" applyProtection="1">
      <protection hidden="1"/>
    </xf>
    <xf numFmtId="0" fontId="3" fillId="5" borderId="28" xfId="3" applyFont="1" applyFill="1" applyBorder="1" applyAlignment="1" applyProtection="1">
      <alignment horizontal="right" vertical="center" wrapText="1"/>
      <protection hidden="1"/>
    </xf>
    <xf numFmtId="0" fontId="3" fillId="5" borderId="28" xfId="3" applyFont="1" applyFill="1" applyBorder="1" applyProtection="1">
      <protection hidden="1"/>
    </xf>
    <xf numFmtId="0" fontId="3" fillId="5" borderId="28" xfId="3" applyFont="1" applyFill="1" applyBorder="1" applyAlignment="1" applyProtection="1">
      <alignment horizontal="center" vertical="center"/>
      <protection hidden="1"/>
    </xf>
    <xf numFmtId="0" fontId="3" fillId="5" borderId="29" xfId="3" applyFont="1" applyFill="1" applyBorder="1" applyProtection="1">
      <protection hidden="1"/>
    </xf>
    <xf numFmtId="0" fontId="3" fillId="5" borderId="30" xfId="3" applyFont="1" applyFill="1" applyBorder="1" applyProtection="1">
      <protection hidden="1"/>
    </xf>
    <xf numFmtId="0" fontId="3" fillId="5" borderId="0" xfId="3" applyFont="1" applyFill="1" applyBorder="1" applyAlignment="1" applyProtection="1">
      <alignment horizontal="right" vertical="center" wrapText="1"/>
      <protection hidden="1"/>
    </xf>
    <xf numFmtId="0" fontId="1" fillId="6" borderId="0" xfId="6" applyFill="1"/>
    <xf numFmtId="0" fontId="3" fillId="5" borderId="31" xfId="3" applyFont="1" applyFill="1" applyBorder="1" applyProtection="1">
      <protection hidden="1"/>
    </xf>
    <xf numFmtId="0" fontId="1" fillId="6" borderId="0" xfId="6" applyFill="1" applyAlignment="1">
      <alignment horizontal="right" vertical="center"/>
    </xf>
    <xf numFmtId="0" fontId="1" fillId="6" borderId="0" xfId="6" applyFill="1" applyAlignment="1">
      <alignment horizontal="center" vertical="center"/>
    </xf>
    <xf numFmtId="0" fontId="6" fillId="5" borderId="0" xfId="3" applyFont="1" applyFill="1" applyBorder="1" applyAlignment="1" applyProtection="1">
      <alignment horizontal="center" vertical="center"/>
      <protection hidden="1"/>
    </xf>
    <xf numFmtId="0" fontId="7" fillId="5" borderId="0" xfId="3" applyFont="1" applyFill="1" applyBorder="1" applyAlignment="1" applyProtection="1">
      <alignment horizontal="center" vertical="center"/>
      <protection hidden="1"/>
    </xf>
    <xf numFmtId="167" fontId="3" fillId="5" borderId="0" xfId="3" applyNumberFormat="1" applyFont="1" applyFill="1" applyBorder="1" applyAlignment="1" applyProtection="1">
      <alignment horizontal="center" vertical="center"/>
      <protection hidden="1"/>
    </xf>
    <xf numFmtId="0" fontId="3" fillId="5" borderId="32" xfId="3" applyFont="1" applyFill="1" applyBorder="1" applyProtection="1">
      <protection hidden="1"/>
    </xf>
    <xf numFmtId="0" fontId="3" fillId="5" borderId="33" xfId="3" applyFont="1" applyFill="1" applyBorder="1" applyAlignment="1" applyProtection="1">
      <alignment horizontal="right" vertical="center" wrapText="1"/>
      <protection hidden="1"/>
    </xf>
    <xf numFmtId="0" fontId="3" fillId="5" borderId="33" xfId="3" applyFont="1" applyFill="1" applyBorder="1" applyProtection="1">
      <protection hidden="1"/>
    </xf>
    <xf numFmtId="0" fontId="9" fillId="5" borderId="33" xfId="3" applyFont="1" applyFill="1" applyBorder="1" applyAlignment="1" applyProtection="1">
      <alignment horizontal="center" vertical="center"/>
      <protection hidden="1"/>
    </xf>
    <xf numFmtId="0" fontId="3" fillId="5" borderId="34" xfId="3" applyFont="1" applyFill="1" applyBorder="1" applyProtection="1">
      <protection hidden="1"/>
    </xf>
    <xf numFmtId="0" fontId="3" fillId="5" borderId="32" xfId="3" applyFont="1" applyFill="1" applyBorder="1" applyAlignment="1" applyProtection="1">
      <protection hidden="1"/>
    </xf>
    <xf numFmtId="0" fontId="3" fillId="5" borderId="33" xfId="3" applyFont="1" applyFill="1" applyBorder="1" applyAlignment="1" applyProtection="1">
      <alignment horizontal="right" vertical="center"/>
      <protection hidden="1"/>
    </xf>
    <xf numFmtId="0" fontId="3" fillId="5" borderId="33" xfId="3" applyFont="1" applyFill="1" applyBorder="1" applyAlignment="1" applyProtection="1">
      <protection hidden="1"/>
    </xf>
    <xf numFmtId="0" fontId="3" fillId="5" borderId="33" xfId="3" applyFont="1" applyFill="1" applyBorder="1" applyAlignment="1" applyProtection="1">
      <alignment horizontal="center" vertical="center"/>
      <protection hidden="1"/>
    </xf>
    <xf numFmtId="0" fontId="3" fillId="5" borderId="34" xfId="3" applyFont="1" applyFill="1" applyBorder="1" applyAlignment="1" applyProtection="1">
      <protection hidden="1"/>
    </xf>
    <xf numFmtId="0" fontId="3" fillId="7" borderId="0" xfId="3" applyFont="1" applyFill="1" applyBorder="1" applyAlignment="1" applyProtection="1">
      <alignment horizontal="center" vertical="center"/>
      <protection locked="0" hidden="1"/>
    </xf>
    <xf numFmtId="165" fontId="3" fillId="7" borderId="0" xfId="3" applyNumberFormat="1" applyFont="1" applyFill="1" applyBorder="1" applyAlignment="1" applyProtection="1">
      <alignment horizontal="center" vertical="center"/>
      <protection locked="0" hidden="1"/>
    </xf>
    <xf numFmtId="168" fontId="3" fillId="7" borderId="0" xfId="5" applyNumberFormat="1" applyFont="1" applyFill="1" applyBorder="1" applyAlignment="1" applyProtection="1">
      <alignment horizontal="center" vertical="center"/>
      <protection locked="0" hidden="1"/>
    </xf>
    <xf numFmtId="170" fontId="3" fillId="7" borderId="0" xfId="5" applyNumberFormat="1" applyFont="1" applyFill="1" applyBorder="1" applyAlignment="1" applyProtection="1">
      <alignment horizontal="center" vertical="center"/>
      <protection locked="0" hidden="1"/>
    </xf>
    <xf numFmtId="165" fontId="3" fillId="4" borderId="0" xfId="3" applyNumberFormat="1" applyFont="1" applyFill="1" applyBorder="1" applyAlignment="1" applyProtection="1">
      <alignment horizontal="center" vertical="center"/>
      <protection hidden="1"/>
    </xf>
    <xf numFmtId="0" fontId="13" fillId="0" borderId="0" xfId="6" applyFont="1" applyFill="1"/>
    <xf numFmtId="0" fontId="7" fillId="5" borderId="0" xfId="3" applyNumberFormat="1" applyFont="1" applyFill="1" applyBorder="1" applyAlignment="1" applyProtection="1">
      <alignment horizontal="center" vertical="center"/>
      <protection hidden="1"/>
    </xf>
    <xf numFmtId="9" fontId="3" fillId="0" borderId="35" xfId="5" applyFont="1" applyFill="1" applyBorder="1" applyAlignment="1" applyProtection="1">
      <alignment horizontal="left"/>
      <protection hidden="1"/>
    </xf>
    <xf numFmtId="9" fontId="3" fillId="0" borderId="36" xfId="5" applyFont="1" applyFill="1" applyBorder="1" applyAlignment="1" applyProtection="1">
      <alignment horizontal="left"/>
      <protection hidden="1"/>
    </xf>
    <xf numFmtId="0" fontId="3" fillId="0" borderId="37" xfId="3" applyFont="1" applyFill="1" applyBorder="1" applyProtection="1">
      <protection hidden="1"/>
    </xf>
    <xf numFmtId="0" fontId="3" fillId="0" borderId="38" xfId="3" applyFont="1" applyFill="1" applyBorder="1" applyProtection="1">
      <protection hidden="1"/>
    </xf>
    <xf numFmtId="1" fontId="3" fillId="0" borderId="0" xfId="3" applyNumberFormat="1" applyFont="1" applyFill="1" applyBorder="1" applyAlignment="1" applyProtection="1">
      <alignment horizontal="center"/>
      <protection hidden="1"/>
    </xf>
    <xf numFmtId="0" fontId="0" fillId="0" borderId="0" xfId="0" applyAlignment="1"/>
    <xf numFmtId="0" fontId="0" fillId="0" borderId="0" xfId="0" applyAlignment="1">
      <alignment horizontal="center"/>
    </xf>
    <xf numFmtId="0" fontId="17" fillId="0" borderId="0" xfId="0" applyFont="1" applyAlignment="1"/>
    <xf numFmtId="0" fontId="16" fillId="0" borderId="0" xfId="0" applyFont="1" applyAlignment="1"/>
    <xf numFmtId="0" fontId="17" fillId="0" borderId="0" xfId="0" applyFont="1" applyFill="1" applyAlignment="1"/>
    <xf numFmtId="0" fontId="1" fillId="0" borderId="0" xfId="6" applyFill="1" applyProtection="1">
      <protection hidden="1"/>
    </xf>
    <xf numFmtId="0" fontId="1" fillId="0" borderId="0" xfId="6" applyFill="1" applyAlignment="1" applyProtection="1">
      <alignment horizontal="center"/>
      <protection hidden="1"/>
    </xf>
    <xf numFmtId="1" fontId="3" fillId="0" borderId="12" xfId="3" applyNumberFormat="1" applyFont="1" applyFill="1" applyBorder="1" applyAlignment="1" applyProtection="1">
      <alignment horizontal="center"/>
      <protection hidden="1"/>
    </xf>
    <xf numFmtId="0" fontId="3" fillId="0" borderId="12" xfId="3" applyFont="1" applyFill="1" applyBorder="1" applyAlignment="1" applyProtection="1">
      <alignment horizontal="center"/>
      <protection hidden="1"/>
    </xf>
    <xf numFmtId="0" fontId="3" fillId="0" borderId="13" xfId="3" applyFont="1" applyFill="1" applyBorder="1" applyAlignment="1" applyProtection="1">
      <alignment horizontal="center"/>
      <protection hidden="1"/>
    </xf>
    <xf numFmtId="1" fontId="3" fillId="0" borderId="4" xfId="3" applyNumberFormat="1" applyFont="1" applyFill="1" applyBorder="1" applyAlignment="1" applyProtection="1">
      <alignment horizontal="center"/>
      <protection hidden="1"/>
    </xf>
    <xf numFmtId="0" fontId="3" fillId="0" borderId="5" xfId="3" applyFont="1" applyFill="1" applyBorder="1" applyAlignment="1" applyProtection="1">
      <alignment horizontal="center"/>
      <protection hidden="1"/>
    </xf>
    <xf numFmtId="0" fontId="3" fillId="0" borderId="6" xfId="3" applyFont="1" applyFill="1" applyBorder="1" applyAlignment="1" applyProtection="1">
      <alignment horizontal="center"/>
      <protection hidden="1"/>
    </xf>
    <xf numFmtId="0" fontId="3" fillId="0" borderId="0" xfId="3" applyFont="1" applyFill="1" applyBorder="1" applyAlignment="1" applyProtection="1">
      <alignment horizontal="center"/>
      <protection hidden="1"/>
    </xf>
    <xf numFmtId="0" fontId="3" fillId="0" borderId="17" xfId="3" applyFont="1" applyFill="1" applyBorder="1" applyAlignment="1" applyProtection="1">
      <alignment horizontal="center"/>
      <protection hidden="1"/>
    </xf>
    <xf numFmtId="1" fontId="3" fillId="0" borderId="0" xfId="5" applyNumberFormat="1" applyFont="1" applyFill="1" applyBorder="1" applyAlignment="1" applyProtection="1">
      <alignment horizontal="center"/>
      <protection hidden="1"/>
    </xf>
    <xf numFmtId="0" fontId="0" fillId="0" borderId="0" xfId="0" applyAlignment="1" applyProtection="1">
      <alignment horizontal="center" vertical="center"/>
      <protection hidden="1"/>
    </xf>
    <xf numFmtId="1" fontId="3" fillId="0" borderId="22" xfId="3" applyNumberFormat="1" applyFont="1" applyFill="1" applyBorder="1" applyAlignment="1" applyProtection="1">
      <alignment horizontal="center"/>
      <protection hidden="1"/>
    </xf>
    <xf numFmtId="1" fontId="3" fillId="0" borderId="24" xfId="3" applyNumberFormat="1" applyFont="1" applyFill="1" applyBorder="1" applyAlignment="1" applyProtection="1">
      <alignment horizontal="center"/>
      <protection hidden="1"/>
    </xf>
    <xf numFmtId="167" fontId="18" fillId="5" borderId="0" xfId="3" applyNumberFormat="1" applyFont="1" applyFill="1" applyBorder="1" applyAlignment="1" applyProtection="1">
      <alignment horizontal="center" vertical="center"/>
      <protection hidden="1"/>
    </xf>
    <xf numFmtId="1" fontId="3" fillId="0" borderId="4" xfId="3" applyNumberFormat="1" applyFont="1" applyFill="1" applyBorder="1" applyAlignment="1" applyProtection="1">
      <alignment horizontal="center" vertical="center"/>
      <protection hidden="1"/>
    </xf>
    <xf numFmtId="1" fontId="20" fillId="0" borderId="0" xfId="0" applyNumberFormat="1" applyFont="1" applyAlignment="1">
      <alignment horizontal="center" vertical="center"/>
    </xf>
    <xf numFmtId="171" fontId="3" fillId="7" borderId="0" xfId="3" applyNumberFormat="1" applyFont="1" applyFill="1" applyBorder="1" applyAlignment="1" applyProtection="1">
      <alignment horizontal="center" vertical="center"/>
      <protection locked="0" hidden="1"/>
    </xf>
    <xf numFmtId="9" fontId="21" fillId="0" borderId="2" xfId="5" applyFont="1" applyFill="1" applyBorder="1" applyAlignment="1" applyProtection="1">
      <alignment horizontal="left"/>
      <protection hidden="1"/>
    </xf>
    <xf numFmtId="0" fontId="19" fillId="6" borderId="0" xfId="6" applyFont="1" applyFill="1" applyAlignment="1" applyProtection="1">
      <alignment horizontal="center" vertical="center"/>
      <protection hidden="1"/>
    </xf>
    <xf numFmtId="0" fontId="20" fillId="0" borderId="0" xfId="0" applyFont="1" applyAlignment="1">
      <alignment horizontal="center" vertical="center"/>
    </xf>
    <xf numFmtId="0" fontId="22" fillId="0" borderId="0" xfId="0" applyFont="1">
      <alignment vertical="center"/>
    </xf>
    <xf numFmtId="0" fontId="20" fillId="6" borderId="42" xfId="0" applyFont="1" applyFill="1" applyBorder="1" applyAlignment="1"/>
    <xf numFmtId="0" fontId="24" fillId="6" borderId="42" xfId="0" applyFont="1" applyFill="1" applyBorder="1" applyAlignment="1"/>
    <xf numFmtId="0" fontId="26" fillId="6" borderId="44" xfId="0" applyFont="1" applyFill="1" applyBorder="1" applyAlignment="1"/>
    <xf numFmtId="0" fontId="26" fillId="6" borderId="0" xfId="0" applyFont="1" applyFill="1" applyBorder="1" applyAlignment="1">
      <alignment horizontal="center"/>
    </xf>
    <xf numFmtId="0" fontId="26" fillId="6" borderId="0" xfId="0" applyFont="1" applyFill="1" applyBorder="1" applyAlignment="1"/>
    <xf numFmtId="0" fontId="26" fillId="6" borderId="45" xfId="0" applyFont="1" applyFill="1" applyBorder="1" applyAlignment="1">
      <alignment horizontal="center"/>
    </xf>
    <xf numFmtId="0" fontId="23" fillId="6" borderId="46" xfId="0" applyFont="1" applyFill="1" applyBorder="1" applyAlignment="1">
      <alignment horizontal="center"/>
    </xf>
    <xf numFmtId="0" fontId="23" fillId="6" borderId="40" xfId="0" applyFont="1" applyFill="1" applyBorder="1" applyAlignment="1">
      <alignment horizontal="center"/>
    </xf>
    <xf numFmtId="0" fontId="26" fillId="10" borderId="39" xfId="0" applyFont="1" applyFill="1" applyBorder="1" applyAlignment="1" applyProtection="1">
      <alignment horizontal="center"/>
      <protection locked="0" hidden="1"/>
    </xf>
    <xf numFmtId="0" fontId="23" fillId="10" borderId="39" xfId="0" applyFont="1" applyFill="1" applyBorder="1" applyAlignment="1" applyProtection="1">
      <alignment horizontal="center"/>
      <protection locked="0" hidden="1"/>
    </xf>
    <xf numFmtId="173" fontId="23" fillId="10" borderId="39" xfId="0" applyNumberFormat="1" applyFont="1" applyFill="1" applyBorder="1" applyAlignment="1" applyProtection="1">
      <alignment horizontal="center"/>
      <protection locked="0" hidden="1"/>
    </xf>
    <xf numFmtId="0" fontId="24" fillId="6" borderId="0" xfId="0" applyFont="1" applyFill="1" applyBorder="1" applyAlignment="1"/>
    <xf numFmtId="0" fontId="24" fillId="8" borderId="39" xfId="0" applyFont="1" applyFill="1" applyBorder="1" applyAlignment="1" applyProtection="1">
      <alignment horizontal="center"/>
      <protection hidden="1"/>
    </xf>
    <xf numFmtId="0" fontId="24" fillId="8" borderId="47" xfId="0" applyFont="1" applyFill="1" applyBorder="1" applyAlignment="1" applyProtection="1">
      <alignment horizontal="center"/>
      <protection hidden="1"/>
    </xf>
    <xf numFmtId="0" fontId="20" fillId="6" borderId="48" xfId="0" applyFont="1" applyFill="1" applyBorder="1" applyAlignment="1"/>
    <xf numFmtId="0" fontId="24" fillId="6" borderId="39" xfId="0" applyFont="1" applyFill="1" applyBorder="1" applyAlignment="1">
      <alignment horizontal="center"/>
    </xf>
    <xf numFmtId="0" fontId="20" fillId="9" borderId="39" xfId="0" applyFont="1" applyFill="1" applyBorder="1" applyAlignment="1" applyProtection="1">
      <protection hidden="1"/>
    </xf>
    <xf numFmtId="0" fontId="20" fillId="6" borderId="39" xfId="0" applyFont="1" applyFill="1" applyBorder="1" applyAlignment="1">
      <alignment horizontal="center"/>
    </xf>
    <xf numFmtId="0" fontId="20" fillId="10" borderId="39" xfId="0" applyFont="1" applyFill="1" applyBorder="1" applyAlignment="1" applyProtection="1">
      <alignment horizontal="center"/>
      <protection locked="0" hidden="1"/>
    </xf>
    <xf numFmtId="0" fontId="20" fillId="9" borderId="47" xfId="0" applyFont="1" applyFill="1" applyBorder="1" applyAlignment="1" applyProtection="1">
      <alignment horizontal="center"/>
      <protection locked="0" hidden="1"/>
    </xf>
    <xf numFmtId="0" fontId="24" fillId="6" borderId="48" xfId="0" applyFont="1" applyFill="1" applyBorder="1" applyAlignment="1"/>
    <xf numFmtId="0" fontId="24" fillId="10" borderId="39" xfId="0" applyFont="1" applyFill="1" applyBorder="1" applyAlignment="1" applyProtection="1">
      <alignment horizontal="center"/>
      <protection locked="0" hidden="1"/>
    </xf>
    <xf numFmtId="174" fontId="20" fillId="10" borderId="39" xfId="0" applyNumberFormat="1" applyFont="1" applyFill="1" applyBorder="1" applyAlignment="1" applyProtection="1">
      <alignment horizontal="center"/>
      <protection locked="0" hidden="1"/>
    </xf>
    <xf numFmtId="174" fontId="20" fillId="9" borderId="47" xfId="0" applyNumberFormat="1" applyFont="1" applyFill="1" applyBorder="1" applyAlignment="1" applyProtection="1">
      <alignment horizontal="center"/>
      <protection locked="0" hidden="1"/>
    </xf>
    <xf numFmtId="175" fontId="20" fillId="10" borderId="39" xfId="0" applyNumberFormat="1" applyFont="1" applyFill="1" applyBorder="1" applyAlignment="1" applyProtection="1">
      <alignment horizontal="center"/>
      <protection locked="0" hidden="1"/>
    </xf>
    <xf numFmtId="175" fontId="20" fillId="9" borderId="47" xfId="0" applyNumberFormat="1" applyFont="1" applyFill="1" applyBorder="1" applyAlignment="1" applyProtection="1">
      <alignment horizontal="center"/>
      <protection locked="0" hidden="1"/>
    </xf>
    <xf numFmtId="1" fontId="24" fillId="8" borderId="39" xfId="0" applyNumberFormat="1" applyFont="1" applyFill="1" applyBorder="1" applyAlignment="1" applyProtection="1">
      <alignment horizontal="center" wrapText="1"/>
      <protection hidden="1"/>
    </xf>
    <xf numFmtId="1" fontId="24" fillId="8" borderId="47" xfId="0" applyNumberFormat="1" applyFont="1" applyFill="1" applyBorder="1" applyAlignment="1" applyProtection="1">
      <alignment horizontal="center"/>
      <protection hidden="1"/>
    </xf>
    <xf numFmtId="0" fontId="26" fillId="6" borderId="0" xfId="0" applyFont="1" applyFill="1" applyBorder="1" applyAlignment="1" applyProtection="1">
      <alignment horizontal="center"/>
      <protection hidden="1"/>
    </xf>
    <xf numFmtId="0" fontId="20" fillId="9" borderId="39" xfId="0" applyFont="1" applyFill="1" applyBorder="1" applyAlignment="1" applyProtection="1">
      <alignment horizontal="center"/>
      <protection hidden="1"/>
    </xf>
    <xf numFmtId="0" fontId="27" fillId="6" borderId="0" xfId="0" applyFont="1" applyFill="1" applyBorder="1" applyAlignment="1" applyProtection="1">
      <protection hidden="1"/>
    </xf>
    <xf numFmtId="0" fontId="24" fillId="6" borderId="0" xfId="0" applyFont="1" applyFill="1" applyBorder="1" applyAlignment="1">
      <alignment horizontal="center"/>
    </xf>
    <xf numFmtId="0" fontId="24" fillId="6" borderId="45" xfId="0" applyFont="1" applyFill="1" applyBorder="1" applyAlignment="1">
      <alignment horizontal="center"/>
    </xf>
    <xf numFmtId="0" fontId="24" fillId="8" borderId="39" xfId="0" applyFont="1" applyFill="1" applyBorder="1" applyAlignment="1" applyProtection="1">
      <protection hidden="1"/>
    </xf>
    <xf numFmtId="0" fontId="24" fillId="6" borderId="44" xfId="0" applyFont="1" applyFill="1" applyBorder="1" applyAlignment="1"/>
    <xf numFmtId="1" fontId="24" fillId="6" borderId="0" xfId="0" applyNumberFormat="1" applyFont="1" applyFill="1" applyBorder="1" applyAlignment="1">
      <alignment horizontal="center" wrapText="1"/>
    </xf>
    <xf numFmtId="0" fontId="20" fillId="6" borderId="45" xfId="0" applyFont="1" applyFill="1" applyBorder="1" applyAlignment="1">
      <alignment horizontal="center"/>
    </xf>
    <xf numFmtId="0" fontId="20" fillId="6" borderId="0" xfId="0" applyFont="1" applyFill="1" applyBorder="1" applyAlignment="1">
      <alignment horizontal="center"/>
    </xf>
    <xf numFmtId="0" fontId="24" fillId="10" borderId="39" xfId="0" applyFont="1" applyFill="1" applyBorder="1" applyAlignment="1" applyProtection="1">
      <alignment horizontal="center"/>
      <protection locked="0"/>
    </xf>
    <xf numFmtId="1" fontId="24" fillId="6" borderId="45" xfId="0" applyNumberFormat="1" applyFont="1" applyFill="1" applyBorder="1" applyAlignment="1">
      <alignment horizontal="center"/>
    </xf>
    <xf numFmtId="1" fontId="20" fillId="6" borderId="45" xfId="0" applyNumberFormat="1" applyFont="1" applyFill="1" applyBorder="1" applyAlignment="1">
      <alignment horizontal="center"/>
    </xf>
    <xf numFmtId="0" fontId="20" fillId="10" borderId="39" xfId="0" applyFont="1" applyFill="1" applyBorder="1" applyAlignment="1" applyProtection="1">
      <alignment horizontal="center"/>
      <protection locked="0"/>
    </xf>
    <xf numFmtId="0" fontId="20" fillId="6" borderId="44" xfId="0" applyFont="1" applyFill="1" applyBorder="1" applyAlignment="1"/>
    <xf numFmtId="0" fontId="20" fillId="6" borderId="0" xfId="0" applyFont="1" applyFill="1" applyBorder="1" applyAlignment="1"/>
    <xf numFmtId="0" fontId="24" fillId="6" borderId="32" xfId="0" applyFont="1" applyFill="1" applyBorder="1" applyAlignment="1"/>
    <xf numFmtId="0" fontId="24" fillId="6" borderId="33" xfId="0" applyFont="1" applyFill="1" applyBorder="1" applyAlignment="1">
      <alignment horizontal="center"/>
    </xf>
    <xf numFmtId="0" fontId="24" fillId="6" borderId="33" xfId="0" applyFont="1" applyFill="1" applyBorder="1" applyAlignment="1"/>
    <xf numFmtId="0" fontId="20" fillId="6" borderId="33" xfId="0" applyFont="1" applyFill="1" applyBorder="1" applyAlignment="1">
      <alignment horizontal="center"/>
    </xf>
    <xf numFmtId="0" fontId="20" fillId="6" borderId="34" xfId="0" applyFont="1" applyFill="1" applyBorder="1" applyAlignment="1">
      <alignment horizontal="center"/>
    </xf>
    <xf numFmtId="0" fontId="18" fillId="6" borderId="0" xfId="6" applyFont="1" applyFill="1" applyAlignment="1">
      <alignment horizontal="center" vertical="center"/>
    </xf>
    <xf numFmtId="0" fontId="3" fillId="0" borderId="0" xfId="6" applyFont="1" applyFill="1" applyBorder="1"/>
    <xf numFmtId="0" fontId="29" fillId="0" borderId="0" xfId="6" applyFont="1" applyFill="1" applyBorder="1"/>
    <xf numFmtId="0" fontId="29" fillId="0" borderId="0" xfId="3" applyFont="1" applyFill="1" applyBorder="1" applyProtection="1">
      <protection hidden="1"/>
    </xf>
    <xf numFmtId="0" fontId="18" fillId="6" borderId="0" xfId="6" applyFont="1" applyFill="1" applyAlignment="1">
      <alignment horizontal="right" vertical="center"/>
    </xf>
    <xf numFmtId="4" fontId="31" fillId="10" borderId="39" xfId="0" applyNumberFormat="1" applyFont="1" applyFill="1" applyBorder="1" applyAlignment="1" applyProtection="1">
      <alignment horizontal="center"/>
      <protection locked="0" hidden="1"/>
    </xf>
    <xf numFmtId="167" fontId="18" fillId="11" borderId="0" xfId="3" applyNumberFormat="1" applyFont="1" applyFill="1" applyBorder="1" applyAlignment="1" applyProtection="1">
      <alignment horizontal="center" vertical="center"/>
      <protection locked="0" hidden="1"/>
    </xf>
    <xf numFmtId="0" fontId="29" fillId="0" borderId="0" xfId="6" applyFont="1" applyFill="1"/>
    <xf numFmtId="0" fontId="4" fillId="0" borderId="0" xfId="6" applyFont="1" applyFill="1"/>
    <xf numFmtId="0" fontId="33" fillId="10" borderId="53" xfId="0" applyFont="1" applyFill="1" applyBorder="1" applyAlignment="1" applyProtection="1">
      <alignment horizontal="center" vertical="center"/>
      <protection locked="0" hidden="1"/>
    </xf>
    <xf numFmtId="0" fontId="10" fillId="5" borderId="49" xfId="3" applyFont="1" applyFill="1" applyBorder="1" applyAlignment="1" applyProtection="1">
      <alignment horizontal="center" vertical="center" wrapText="1"/>
      <protection hidden="1"/>
    </xf>
    <xf numFmtId="0" fontId="8" fillId="5" borderId="50" xfId="3" applyFont="1" applyFill="1" applyBorder="1" applyAlignment="1" applyProtection="1">
      <alignment horizontal="center"/>
      <protection hidden="1"/>
    </xf>
    <xf numFmtId="0" fontId="30" fillId="5" borderId="30" xfId="3" applyFont="1" applyFill="1" applyBorder="1" applyAlignment="1" applyProtection="1">
      <alignment horizontal="left" vertical="center" wrapText="1"/>
      <protection hidden="1"/>
    </xf>
    <xf numFmtId="0" fontId="30" fillId="5" borderId="0" xfId="3" applyFont="1" applyFill="1" applyBorder="1" applyAlignment="1" applyProtection="1">
      <alignment horizontal="left" vertical="center" wrapText="1"/>
      <protection hidden="1"/>
    </xf>
    <xf numFmtId="0" fontId="30" fillId="5" borderId="31" xfId="3" applyFont="1" applyFill="1" applyBorder="1" applyAlignment="1" applyProtection="1">
      <alignment horizontal="left" vertical="center" wrapText="1"/>
      <protection hidden="1"/>
    </xf>
    <xf numFmtId="0" fontId="15" fillId="5" borderId="41" xfId="3" applyFont="1" applyFill="1" applyBorder="1" applyAlignment="1" applyProtection="1">
      <alignment horizontal="center" vertical="center"/>
      <protection hidden="1"/>
    </xf>
    <xf numFmtId="0" fontId="15" fillId="5" borderId="42" xfId="3" applyFont="1" applyFill="1" applyBorder="1" applyAlignment="1" applyProtection="1">
      <alignment horizontal="center" vertical="center"/>
      <protection hidden="1"/>
    </xf>
    <xf numFmtId="0" fontId="15" fillId="5" borderId="43" xfId="3" applyFont="1" applyFill="1" applyBorder="1" applyAlignment="1" applyProtection="1">
      <alignment horizontal="center" vertical="center"/>
      <protection hidden="1"/>
    </xf>
    <xf numFmtId="0" fontId="8" fillId="5" borderId="44" xfId="3" applyFont="1" applyFill="1" applyBorder="1" applyAlignment="1" applyProtection="1">
      <alignment horizontal="center"/>
      <protection hidden="1"/>
    </xf>
    <xf numFmtId="0" fontId="8" fillId="5" borderId="0" xfId="3" applyFont="1" applyFill="1" applyBorder="1" applyAlignment="1" applyProtection="1">
      <alignment horizontal="center"/>
      <protection hidden="1"/>
    </xf>
    <xf numFmtId="0" fontId="8" fillId="5" borderId="45" xfId="3" applyFont="1" applyFill="1" applyBorder="1" applyAlignment="1" applyProtection="1">
      <alignment horizontal="center"/>
      <protection hidden="1"/>
    </xf>
    <xf numFmtId="0" fontId="19" fillId="6" borderId="0" xfId="6" applyFont="1" applyFill="1" applyAlignment="1" applyProtection="1">
      <alignment horizontal="center" vertical="center"/>
      <protection hidden="1"/>
    </xf>
    <xf numFmtId="0" fontId="19" fillId="6" borderId="31" xfId="6" applyFont="1" applyFill="1" applyBorder="1" applyAlignment="1" applyProtection="1">
      <alignment horizontal="center" vertical="center"/>
      <protection hidden="1"/>
    </xf>
    <xf numFmtId="0" fontId="34" fillId="6" borderId="0" xfId="6" applyFont="1" applyFill="1" applyAlignment="1">
      <alignment horizontal="right" vertical="center"/>
    </xf>
    <xf numFmtId="0" fontId="32" fillId="6" borderId="54" xfId="0" applyFont="1" applyFill="1" applyBorder="1" applyAlignment="1">
      <alignment horizontal="left" vertical="center" wrapText="1"/>
    </xf>
    <xf numFmtId="0" fontId="32" fillId="6" borderId="0" xfId="0" applyFont="1" applyFill="1" applyBorder="1" applyAlignment="1">
      <alignment horizontal="left" vertical="center" wrapText="1"/>
    </xf>
    <xf numFmtId="0" fontId="32" fillId="6" borderId="45" xfId="0" applyFont="1" applyFill="1" applyBorder="1" applyAlignment="1">
      <alignment horizontal="left" vertical="center" wrapText="1"/>
    </xf>
    <xf numFmtId="0" fontId="28" fillId="6" borderId="41" xfId="0" applyFont="1" applyFill="1" applyBorder="1" applyAlignment="1">
      <alignment horizontal="right"/>
    </xf>
    <xf numFmtId="0" fontId="28" fillId="6" borderId="42" xfId="0" applyFont="1" applyFill="1" applyBorder="1" applyAlignment="1">
      <alignment horizontal="right"/>
    </xf>
    <xf numFmtId="0" fontId="20" fillId="6" borderId="40" xfId="0" applyFont="1" applyFill="1" applyBorder="1" applyAlignment="1">
      <alignment horizontal="left"/>
    </xf>
    <xf numFmtId="0" fontId="20" fillId="6" borderId="51" xfId="0" applyFont="1" applyFill="1" applyBorder="1" applyAlignment="1">
      <alignment horizontal="left"/>
    </xf>
    <xf numFmtId="0" fontId="20" fillId="6" borderId="52" xfId="0" applyFont="1" applyFill="1" applyBorder="1" applyAlignment="1">
      <alignment horizontal="left"/>
    </xf>
    <xf numFmtId="0" fontId="24" fillId="8" borderId="40" xfId="0" applyFont="1" applyFill="1" applyBorder="1" applyAlignment="1">
      <alignment horizontal="right"/>
    </xf>
    <xf numFmtId="0" fontId="24" fillId="8" borderId="51" xfId="0" applyFont="1" applyFill="1" applyBorder="1" applyAlignment="1">
      <alignment horizontal="right"/>
    </xf>
    <xf numFmtId="0" fontId="24" fillId="8" borderId="52" xfId="0" applyFont="1" applyFill="1" applyBorder="1" applyAlignment="1">
      <alignment horizontal="right"/>
    </xf>
    <xf numFmtId="0" fontId="24" fillId="6" borderId="40" xfId="0" applyFont="1" applyFill="1" applyBorder="1" applyAlignment="1">
      <alignment horizontal="right"/>
    </xf>
    <xf numFmtId="0" fontId="24" fillId="6" borderId="51" xfId="0" applyFont="1" applyFill="1" applyBorder="1" applyAlignment="1">
      <alignment horizontal="right"/>
    </xf>
    <xf numFmtId="0" fontId="24" fillId="6" borderId="52" xfId="0" applyFont="1" applyFill="1" applyBorder="1" applyAlignment="1">
      <alignment horizontal="right"/>
    </xf>
    <xf numFmtId="0" fontId="25" fillId="6" borderId="42" xfId="0" applyFont="1" applyFill="1" applyBorder="1" applyAlignment="1">
      <alignment horizontal="center"/>
    </xf>
    <xf numFmtId="0" fontId="25" fillId="6" borderId="43" xfId="0" applyFont="1" applyFill="1" applyBorder="1" applyAlignment="1">
      <alignment horizontal="center"/>
    </xf>
  </cellXfs>
  <cellStyles count="7">
    <cellStyle name="Currency 2" xfId="1"/>
    <cellStyle name="Excel Built-in Normal" xfId="2"/>
    <cellStyle name="Normal 2" xfId="3"/>
    <cellStyle name="Note 2" xfId="4"/>
    <cellStyle name="Percent 2" xfId="5"/>
    <cellStyle name="一般" xfId="0" builtinId="0"/>
    <cellStyle name="一般 2" xfId="6"/>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90"/>
  <sheetViews>
    <sheetView tabSelected="1" zoomScale="130" zoomScaleNormal="130" workbookViewId="0">
      <selection activeCell="D3" sqref="D3"/>
    </sheetView>
  </sheetViews>
  <sheetFormatPr defaultRowHeight="15.75"/>
  <cols>
    <col min="1" max="1" width="1.875" customWidth="1"/>
    <col min="2" max="2" width="39.375" style="6" customWidth="1"/>
    <col min="3" max="3" width="1.125" customWidth="1"/>
    <col min="4" max="4" width="44.25" style="3" customWidth="1"/>
    <col min="5" max="5" width="5.875" customWidth="1"/>
    <col min="6" max="6" width="0.25" customWidth="1"/>
    <col min="7" max="7" width="9" hidden="1" customWidth="1"/>
    <col min="8" max="8" width="30.625" hidden="1" customWidth="1"/>
    <col min="9" max="10" width="9" hidden="1" customWidth="1"/>
    <col min="11" max="11" width="7.5" hidden="1" customWidth="1"/>
    <col min="12" max="29" width="9" hidden="1" customWidth="1"/>
  </cols>
  <sheetData>
    <row r="1" spans="1:29" ht="26.25" thickBot="1">
      <c r="A1" s="187" t="s">
        <v>176</v>
      </c>
      <c r="B1" s="187"/>
      <c r="C1" s="187"/>
      <c r="D1" s="187"/>
      <c r="E1" s="187"/>
      <c r="F1" s="1"/>
      <c r="G1">
        <f>IF($D$3=$H$42,2.01,IF($D$3=$H$43,1.51,IF($D$3=$H$44,2.01)))</f>
        <v>2.0099999999999998</v>
      </c>
      <c r="H1" s="15"/>
      <c r="I1" s="15"/>
      <c r="J1" s="15"/>
      <c r="K1" s="15"/>
      <c r="L1" s="15"/>
      <c r="M1" s="15"/>
      <c r="N1" s="15"/>
      <c r="O1" s="15"/>
      <c r="P1" s="15"/>
      <c r="Q1" s="15"/>
      <c r="R1" s="15"/>
      <c r="S1" s="15"/>
      <c r="T1" s="15"/>
      <c r="U1" s="15"/>
      <c r="V1" s="15"/>
      <c r="W1" s="15"/>
      <c r="X1" s="15"/>
      <c r="Y1" s="15"/>
      <c r="Z1" s="12">
        <v>1</v>
      </c>
      <c r="AA1" s="12">
        <v>1</v>
      </c>
      <c r="AB1" s="12">
        <v>1</v>
      </c>
      <c r="AC1" s="12">
        <v>0</v>
      </c>
    </row>
    <row r="2" spans="1:29" ht="18" thickTop="1">
      <c r="A2" s="65"/>
      <c r="B2" s="66"/>
      <c r="C2" s="67"/>
      <c r="D2" s="68"/>
      <c r="E2" s="69"/>
      <c r="F2" s="1"/>
      <c r="G2">
        <f>IF($D$3=$H$42,2.51,IF($D$3=$H$43,2.01,IF($D$3=$H$44,3.01)))</f>
        <v>2.5099999999999998</v>
      </c>
      <c r="H2" s="28" t="s">
        <v>0</v>
      </c>
      <c r="I2" s="29" t="s">
        <v>1</v>
      </c>
      <c r="J2" s="30"/>
      <c r="K2" s="30"/>
      <c r="L2" s="30"/>
      <c r="M2" s="30"/>
      <c r="N2" s="30"/>
      <c r="O2" s="30"/>
      <c r="P2" s="30"/>
      <c r="Q2" s="30"/>
      <c r="R2" s="30"/>
      <c r="S2" s="31"/>
      <c r="T2" s="31"/>
      <c r="U2" s="30"/>
      <c r="V2" s="31"/>
      <c r="W2" s="32"/>
      <c r="X2" s="32"/>
      <c r="Y2" s="32"/>
      <c r="Z2" s="12">
        <v>2</v>
      </c>
      <c r="AA2" s="12">
        <v>7</v>
      </c>
      <c r="AB2" s="12">
        <v>2</v>
      </c>
      <c r="AC2" s="12">
        <v>1</v>
      </c>
    </row>
    <row r="3" spans="1:29" ht="17.25">
      <c r="A3" s="70"/>
      <c r="B3" s="71" t="s">
        <v>141</v>
      </c>
      <c r="C3" s="72"/>
      <c r="D3" s="89" t="s">
        <v>178</v>
      </c>
      <c r="E3" s="73"/>
      <c r="F3" s="1"/>
      <c r="G3">
        <f>IF($D$3=$H$42,4.01,IF($D$3=$H$43,3.01,IF($D$3=$H$44,4.01)))</f>
        <v>4.01</v>
      </c>
      <c r="H3" s="16" t="s">
        <v>57</v>
      </c>
      <c r="I3" s="33"/>
      <c r="J3" s="34"/>
      <c r="K3" s="34"/>
      <c r="L3" s="34"/>
      <c r="M3" s="34"/>
      <c r="N3" s="34"/>
      <c r="O3" s="34"/>
      <c r="P3" s="34"/>
      <c r="Q3" s="34"/>
      <c r="R3" s="34"/>
      <c r="S3" s="34"/>
      <c r="T3" s="34"/>
      <c r="U3" s="34"/>
      <c r="V3" s="34"/>
      <c r="W3" s="35"/>
      <c r="X3" s="35"/>
      <c r="Y3" s="35"/>
      <c r="Z3" s="12">
        <v>3</v>
      </c>
      <c r="AA3" s="12">
        <v>15</v>
      </c>
      <c r="AB3" s="12">
        <v>3</v>
      </c>
      <c r="AC3" s="12">
        <v>1.5</v>
      </c>
    </row>
    <row r="4" spans="1:29" ht="17.25">
      <c r="A4" s="70"/>
      <c r="B4" s="74"/>
      <c r="C4" s="72"/>
      <c r="D4" s="75"/>
      <c r="E4" s="73"/>
      <c r="F4" s="1"/>
      <c r="G4">
        <f>IF($D$3=$H$42,5.01,IF($D$3=$H$43,4.01,IF($D$3=$H$44,6.01)))</f>
        <v>5.01</v>
      </c>
      <c r="H4" s="16" t="s">
        <v>58</v>
      </c>
      <c r="I4" s="17"/>
      <c r="J4" s="37"/>
      <c r="K4" s="37"/>
      <c r="L4" s="37"/>
      <c r="M4" s="37"/>
      <c r="N4" s="37"/>
      <c r="O4" s="37"/>
      <c r="P4" s="37"/>
      <c r="Q4" s="37"/>
      <c r="R4" s="37"/>
      <c r="S4" s="37"/>
      <c r="T4" s="38"/>
      <c r="U4" s="37"/>
      <c r="V4" s="39"/>
      <c r="W4" s="40"/>
      <c r="X4" s="40"/>
      <c r="Y4" s="40"/>
      <c r="Z4" s="12">
        <v>4</v>
      </c>
      <c r="AA4" s="12">
        <v>30</v>
      </c>
      <c r="AB4" s="12">
        <v>4</v>
      </c>
      <c r="AC4" s="12">
        <v>2</v>
      </c>
    </row>
    <row r="5" spans="1:29" ht="17.25">
      <c r="A5" s="70"/>
      <c r="B5" s="71" t="s">
        <v>109</v>
      </c>
      <c r="C5" s="72"/>
      <c r="D5" s="89" t="s">
        <v>60</v>
      </c>
      <c r="E5" s="73"/>
      <c r="F5" s="1"/>
      <c r="G5">
        <f>IF($D$3=$H$42,8.01,IF($D$3=$H$43,12.01,IF($D$3=$H$44,12.01)))</f>
        <v>8.01</v>
      </c>
      <c r="H5" s="16" t="s">
        <v>59</v>
      </c>
      <c r="I5" s="33" t="s">
        <v>3</v>
      </c>
      <c r="J5" s="34" t="s">
        <v>56</v>
      </c>
      <c r="K5" s="34" t="s">
        <v>55</v>
      </c>
      <c r="L5" s="34" t="s">
        <v>54</v>
      </c>
      <c r="M5" s="34" t="s">
        <v>45</v>
      </c>
      <c r="N5" s="34" t="s">
        <v>52</v>
      </c>
      <c r="O5" s="34" t="s">
        <v>119</v>
      </c>
      <c r="P5" s="34" t="s">
        <v>113</v>
      </c>
      <c r="Q5" s="34" t="s">
        <v>47</v>
      </c>
      <c r="R5" s="34" t="s">
        <v>4</v>
      </c>
      <c r="S5" s="34" t="s">
        <v>151</v>
      </c>
      <c r="T5" s="34" t="s">
        <v>5</v>
      </c>
      <c r="U5" s="34" t="s">
        <v>6</v>
      </c>
      <c r="V5" s="34" t="s">
        <v>8</v>
      </c>
      <c r="W5" s="35" t="s">
        <v>9</v>
      </c>
      <c r="X5" s="35" t="s">
        <v>152</v>
      </c>
      <c r="Y5" s="35" t="s">
        <v>154</v>
      </c>
      <c r="Z5" s="12">
        <v>3</v>
      </c>
      <c r="AA5" s="12">
        <v>15</v>
      </c>
      <c r="AB5" s="12">
        <v>3</v>
      </c>
      <c r="AC5" s="12">
        <v>2.5</v>
      </c>
    </row>
    <row r="6" spans="1:29" ht="17.25">
      <c r="A6" s="70"/>
      <c r="B6" s="74"/>
      <c r="C6" s="72"/>
      <c r="D6" s="75"/>
      <c r="E6" s="73"/>
      <c r="F6" s="1"/>
      <c r="G6">
        <f>IF($D$3=$H$42,12.01,IF($D$3=$H$43,24.01,IF($D$3=$H$44,24.01)))</f>
        <v>12.01</v>
      </c>
      <c r="H6" s="16" t="s">
        <v>60</v>
      </c>
      <c r="I6" s="17" t="s">
        <v>11</v>
      </c>
      <c r="J6" s="37"/>
      <c r="K6" s="37"/>
      <c r="L6" s="37"/>
      <c r="M6" s="37">
        <v>128</v>
      </c>
      <c r="N6" s="37"/>
      <c r="O6" s="37"/>
      <c r="P6" s="37"/>
      <c r="Q6" s="37">
        <v>100</v>
      </c>
      <c r="R6" s="37">
        <v>128</v>
      </c>
      <c r="S6" s="37"/>
      <c r="T6" s="38"/>
      <c r="U6" s="37">
        <v>202</v>
      </c>
      <c r="V6" s="39">
        <v>299</v>
      </c>
      <c r="W6" s="40">
        <v>512</v>
      </c>
      <c r="X6" s="40"/>
      <c r="Y6" s="40"/>
      <c r="Z6" s="12">
        <v>4</v>
      </c>
      <c r="AA6" s="12">
        <v>30</v>
      </c>
      <c r="AB6" s="12">
        <v>4</v>
      </c>
      <c r="AC6" s="12">
        <v>3</v>
      </c>
    </row>
    <row r="7" spans="1:29" ht="17.25">
      <c r="A7" s="70"/>
      <c r="B7" s="71" t="s">
        <v>12</v>
      </c>
      <c r="C7" s="72"/>
      <c r="D7" s="89" t="s">
        <v>62</v>
      </c>
      <c r="E7" s="73"/>
      <c r="F7" s="1"/>
      <c r="G7">
        <f>IF($D$3=$H$42,18.01,IF($D$3=$H$43,24.01,IF($D$3=$H$44,24.01)))</f>
        <v>18.010000000000002</v>
      </c>
      <c r="H7" s="16" t="s">
        <v>53</v>
      </c>
      <c r="I7" s="17" t="s">
        <v>13</v>
      </c>
      <c r="J7" s="18">
        <v>17</v>
      </c>
      <c r="K7" s="18">
        <v>22</v>
      </c>
      <c r="L7" s="18">
        <v>43</v>
      </c>
      <c r="M7" s="18">
        <v>41</v>
      </c>
      <c r="N7" s="18">
        <v>44</v>
      </c>
      <c r="O7" s="18">
        <v>64</v>
      </c>
      <c r="P7" s="18">
        <v>118</v>
      </c>
      <c r="Q7" s="18">
        <v>139</v>
      </c>
      <c r="R7" s="18">
        <v>176</v>
      </c>
      <c r="S7" s="18">
        <v>182</v>
      </c>
      <c r="T7" s="19">
        <v>215</v>
      </c>
      <c r="U7" s="18">
        <v>278</v>
      </c>
      <c r="V7" s="41">
        <v>411</v>
      </c>
      <c r="W7" s="42">
        <v>704</v>
      </c>
      <c r="X7" s="42">
        <v>1070</v>
      </c>
      <c r="Y7" s="42">
        <v>1644</v>
      </c>
      <c r="Z7" s="12">
        <v>5</v>
      </c>
      <c r="AA7" s="12">
        <v>45</v>
      </c>
      <c r="AB7" s="12">
        <v>5</v>
      </c>
      <c r="AC7" s="12">
        <v>4</v>
      </c>
    </row>
    <row r="8" spans="1:29" ht="17.25">
      <c r="A8" s="70"/>
      <c r="B8" s="74"/>
      <c r="C8" s="72"/>
      <c r="D8" s="76"/>
      <c r="E8" s="73"/>
      <c r="F8" s="1"/>
      <c r="G8">
        <f>IF($D$3=$H$42,25.01,IF($D$3=$H$43,24.01,IF($D$3=$H$44,24.01)))</f>
        <v>25.01</v>
      </c>
      <c r="H8" s="16" t="s">
        <v>120</v>
      </c>
      <c r="I8" s="43" t="s">
        <v>14</v>
      </c>
      <c r="J8" s="44"/>
      <c r="K8" s="44"/>
      <c r="L8" s="44"/>
      <c r="M8" s="44">
        <v>293</v>
      </c>
      <c r="N8" s="44"/>
      <c r="O8" s="44"/>
      <c r="P8" s="44"/>
      <c r="Q8" s="44">
        <v>227</v>
      </c>
      <c r="R8" s="44">
        <v>293</v>
      </c>
      <c r="S8" s="44"/>
      <c r="T8" s="45"/>
      <c r="U8" s="44">
        <v>463</v>
      </c>
      <c r="V8" s="46">
        <v>685</v>
      </c>
      <c r="W8" s="47">
        <v>1172</v>
      </c>
      <c r="X8" s="47"/>
      <c r="Y8" s="47"/>
      <c r="Z8" s="12">
        <v>6</v>
      </c>
      <c r="AA8" s="12">
        <v>60</v>
      </c>
      <c r="AB8" s="12">
        <v>5.5</v>
      </c>
      <c r="AC8" s="12">
        <v>3</v>
      </c>
    </row>
    <row r="9" spans="1:29" ht="17.25">
      <c r="A9" s="70"/>
      <c r="B9" s="71" t="s">
        <v>15</v>
      </c>
      <c r="C9" s="72"/>
      <c r="D9" s="89">
        <v>5</v>
      </c>
      <c r="E9" s="73"/>
      <c r="F9" s="1"/>
      <c r="H9" s="16" t="s">
        <v>112</v>
      </c>
      <c r="I9" s="48"/>
      <c r="J9" s="49"/>
      <c r="K9" s="49"/>
      <c r="L9" s="49"/>
      <c r="M9" s="49"/>
      <c r="N9" s="49"/>
      <c r="O9" s="49"/>
      <c r="P9" s="49"/>
      <c r="Q9" s="49"/>
      <c r="R9" s="49"/>
      <c r="S9" s="49"/>
      <c r="T9" s="48"/>
      <c r="U9" s="49"/>
      <c r="V9" s="50"/>
      <c r="W9" s="51"/>
      <c r="X9" s="51"/>
      <c r="Y9" s="51"/>
      <c r="Z9" s="12">
        <v>7</v>
      </c>
      <c r="AA9" s="12">
        <v>90</v>
      </c>
      <c r="AB9" s="12">
        <v>6</v>
      </c>
      <c r="AC9" s="12">
        <v>4</v>
      </c>
    </row>
    <row r="10" spans="1:29" ht="17.25">
      <c r="A10" s="70"/>
      <c r="B10" s="74"/>
      <c r="C10" s="72"/>
      <c r="D10" s="77" t="str">
        <f>IF(OR(D5=H3,D5=H4,D5=H5,D5=H6,D5=H7,D5=H8,D5=H9,D5=H10,D5=H12),"max frame rate for camera = 30fps",IF(D5=H11,"max frame rate for 2MP(1600X1200) = 24fps",IF(OR(D5=H13,D5=H14),"The max frame rate for 3MP Camera= 15fps",IF(D5=H15,"The max frame rate for 5MP Camera = 9fps",IF(D5=H16,"The max frame rate for 8MP Camera = 5.5fps",IF(D5=H17,"The max frame rate for 10MP Camera = 6fps",IF(D5=H17,"The max frame rate for 20MP Camera = 4fps"," ")))))))</f>
        <v>max frame rate for camera = 30fps</v>
      </c>
      <c r="E10" s="73"/>
      <c r="F10" s="1"/>
      <c r="H10" s="16" t="s">
        <v>41</v>
      </c>
      <c r="I10" s="33" t="s">
        <v>16</v>
      </c>
      <c r="J10" s="34" t="s">
        <v>56</v>
      </c>
      <c r="K10" s="34" t="s">
        <v>55</v>
      </c>
      <c r="L10" s="34" t="s">
        <v>54</v>
      </c>
      <c r="M10" s="34" t="s">
        <v>46</v>
      </c>
      <c r="N10" s="34" t="s">
        <v>52</v>
      </c>
      <c r="O10" s="34" t="s">
        <v>119</v>
      </c>
      <c r="P10" s="34" t="s">
        <v>113</v>
      </c>
      <c r="Q10" s="34" t="s">
        <v>47</v>
      </c>
      <c r="R10" s="34" t="s">
        <v>4</v>
      </c>
      <c r="S10" s="34" t="s">
        <v>151</v>
      </c>
      <c r="T10" s="34" t="s">
        <v>5</v>
      </c>
      <c r="U10" s="34" t="s">
        <v>6</v>
      </c>
      <c r="V10" s="34" t="s">
        <v>8</v>
      </c>
      <c r="W10" s="52" t="s">
        <v>17</v>
      </c>
      <c r="X10" s="52" t="s">
        <v>153</v>
      </c>
      <c r="Y10" s="52" t="s">
        <v>153</v>
      </c>
      <c r="Z10" s="12">
        <v>8</v>
      </c>
      <c r="AA10" s="94">
        <v>120</v>
      </c>
      <c r="AB10" s="12">
        <v>7</v>
      </c>
      <c r="AC10" s="12">
        <v>5</v>
      </c>
    </row>
    <row r="11" spans="1:29" ht="17.25">
      <c r="A11" s="70"/>
      <c r="B11" s="71" t="s">
        <v>18</v>
      </c>
      <c r="C11" s="72"/>
      <c r="D11" s="90">
        <v>180</v>
      </c>
      <c r="E11" s="73"/>
      <c r="F11" s="1"/>
      <c r="G11">
        <f>IF($D$3=$H$42,32,IF($D$3=$H$43,8,IF($D$3=$H$44,8)))</f>
        <v>32</v>
      </c>
      <c r="H11" s="16" t="s">
        <v>10</v>
      </c>
      <c r="I11" s="17" t="s">
        <v>11</v>
      </c>
      <c r="J11" s="37"/>
      <c r="K11" s="37"/>
      <c r="L11" s="37"/>
      <c r="M11" s="37">
        <v>112.5</v>
      </c>
      <c r="N11" s="37"/>
      <c r="O11" s="37"/>
      <c r="P11" s="37"/>
      <c r="Q11" s="37">
        <v>84.5</v>
      </c>
      <c r="R11" s="37">
        <v>112.5</v>
      </c>
      <c r="S11" s="37"/>
      <c r="T11" s="38"/>
      <c r="U11" s="37">
        <v>175</v>
      </c>
      <c r="V11" s="39">
        <v>259.02</v>
      </c>
      <c r="W11" s="40">
        <v>450</v>
      </c>
      <c r="X11" s="40"/>
      <c r="Y11" s="40"/>
      <c r="Z11" s="12">
        <v>9</v>
      </c>
      <c r="AA11" s="94">
        <v>150</v>
      </c>
      <c r="AB11" s="12">
        <v>8</v>
      </c>
      <c r="AC11" s="12">
        <v>6</v>
      </c>
    </row>
    <row r="12" spans="1:29" ht="17.25">
      <c r="A12" s="70"/>
      <c r="B12" s="74"/>
      <c r="C12" s="72"/>
      <c r="D12" s="75"/>
      <c r="E12" s="73"/>
      <c r="F12" s="1"/>
      <c r="G12">
        <f>IF($D$3=$H$42,24,IF($D$3=$H$43,7,IF($D$3=$H$44,7)))</f>
        <v>24</v>
      </c>
      <c r="H12" s="16" t="s">
        <v>149</v>
      </c>
      <c r="I12" s="17" t="s">
        <v>13</v>
      </c>
      <c r="J12" s="18"/>
      <c r="K12" s="18"/>
      <c r="L12" s="18"/>
      <c r="M12" s="18">
        <v>242</v>
      </c>
      <c r="N12" s="18"/>
      <c r="O12" s="18"/>
      <c r="P12" s="18"/>
      <c r="Q12" s="18">
        <v>118</v>
      </c>
      <c r="R12" s="18">
        <v>155</v>
      </c>
      <c r="S12" s="18">
        <v>241.5</v>
      </c>
      <c r="T12" s="19">
        <v>242</v>
      </c>
      <c r="U12" s="18">
        <v>241.5</v>
      </c>
      <c r="V12" s="41">
        <v>357.2</v>
      </c>
      <c r="W12" s="42">
        <v>620</v>
      </c>
      <c r="X12" s="42"/>
      <c r="Y12" s="42"/>
      <c r="Z12" s="12">
        <v>10</v>
      </c>
      <c r="AA12" s="94">
        <v>180</v>
      </c>
      <c r="AB12" s="12">
        <v>9</v>
      </c>
      <c r="AC12" s="12">
        <v>7</v>
      </c>
    </row>
    <row r="13" spans="1:29" ht="17.25">
      <c r="A13" s="70"/>
      <c r="B13" s="71" t="s">
        <v>21</v>
      </c>
      <c r="C13" s="72"/>
      <c r="D13" s="91">
        <v>40</v>
      </c>
      <c r="E13" s="73"/>
      <c r="F13" s="1"/>
      <c r="G13">
        <f>IF($D$3=$H$42,16,IF($D$3=$H$43,6,IF($D$3=$H$44,6)))</f>
        <v>16</v>
      </c>
      <c r="H13" s="16" t="s">
        <v>150</v>
      </c>
      <c r="I13" s="43" t="s">
        <v>14</v>
      </c>
      <c r="J13" s="44"/>
      <c r="K13" s="44"/>
      <c r="L13" s="44"/>
      <c r="M13" s="44">
        <v>263</v>
      </c>
      <c r="N13" s="44"/>
      <c r="O13" s="44"/>
      <c r="P13" s="44"/>
      <c r="Q13" s="44">
        <v>196</v>
      </c>
      <c r="R13" s="44">
        <v>263</v>
      </c>
      <c r="S13" s="44"/>
      <c r="T13" s="45"/>
      <c r="U13" s="44">
        <v>416</v>
      </c>
      <c r="V13" s="46">
        <v>615.55999999999995</v>
      </c>
      <c r="W13" s="47">
        <v>1052</v>
      </c>
      <c r="X13" s="47"/>
      <c r="Y13" s="47"/>
      <c r="Z13" s="12">
        <v>11</v>
      </c>
      <c r="AA13" s="94">
        <v>210</v>
      </c>
      <c r="AB13" s="12">
        <v>10</v>
      </c>
      <c r="AC13" s="12">
        <v>8</v>
      </c>
    </row>
    <row r="14" spans="1:29" ht="17.25">
      <c r="A14" s="70"/>
      <c r="B14" s="74"/>
      <c r="C14" s="72"/>
      <c r="D14" s="75"/>
      <c r="E14" s="73"/>
      <c r="F14" s="1"/>
      <c r="G14">
        <f>IF($D$3=$H$42,12,IF($D$3=$H$43,3,IF($D$3=$H$44,3)))</f>
        <v>12</v>
      </c>
      <c r="H14" s="16" t="s">
        <v>148</v>
      </c>
      <c r="I14" s="48"/>
      <c r="J14" s="49"/>
      <c r="K14" s="49"/>
      <c r="L14" s="49"/>
      <c r="M14" s="49"/>
      <c r="N14" s="49"/>
      <c r="O14" s="49"/>
      <c r="P14" s="49"/>
      <c r="Q14" s="49"/>
      <c r="R14" s="49"/>
      <c r="S14" s="49"/>
      <c r="T14" s="48"/>
      <c r="U14" s="49"/>
      <c r="V14" s="50"/>
      <c r="W14" s="51"/>
      <c r="X14" s="51"/>
      <c r="Y14" s="51"/>
      <c r="Z14" s="12">
        <v>12</v>
      </c>
      <c r="AA14" s="94">
        <v>270</v>
      </c>
      <c r="AB14" s="12">
        <v>11</v>
      </c>
      <c r="AC14" s="12">
        <v>9</v>
      </c>
    </row>
    <row r="15" spans="1:29" ht="17.25">
      <c r="A15" s="70"/>
      <c r="B15" s="71" t="s">
        <v>164</v>
      </c>
      <c r="C15" s="72"/>
      <c r="D15" s="92" t="s">
        <v>159</v>
      </c>
      <c r="E15" s="73"/>
      <c r="F15" s="1"/>
      <c r="G15">
        <f>IF($D$3=$H$42,8,IF($D$3=$H$43,2,IF($D$3=$H$44,2)))</f>
        <v>8</v>
      </c>
      <c r="H15" s="16" t="s">
        <v>19</v>
      </c>
      <c r="I15" s="33" t="s">
        <v>22</v>
      </c>
      <c r="J15" s="34" t="s">
        <v>56</v>
      </c>
      <c r="K15" s="34" t="s">
        <v>55</v>
      </c>
      <c r="L15" s="34" t="s">
        <v>54</v>
      </c>
      <c r="M15" s="34" t="s">
        <v>46</v>
      </c>
      <c r="N15" s="34" t="s">
        <v>52</v>
      </c>
      <c r="O15" s="34" t="s">
        <v>119</v>
      </c>
      <c r="P15" s="34" t="s">
        <v>113</v>
      </c>
      <c r="Q15" s="34" t="s">
        <v>48</v>
      </c>
      <c r="R15" s="34" t="s">
        <v>4</v>
      </c>
      <c r="S15" s="34" t="s">
        <v>151</v>
      </c>
      <c r="T15" s="34" t="s">
        <v>5</v>
      </c>
      <c r="U15" s="34" t="s">
        <v>6</v>
      </c>
      <c r="V15" s="34" t="s">
        <v>8</v>
      </c>
      <c r="W15" s="52" t="s">
        <v>17</v>
      </c>
      <c r="X15" s="52" t="s">
        <v>153</v>
      </c>
      <c r="Y15" s="52" t="s">
        <v>153</v>
      </c>
      <c r="Z15" s="12">
        <v>13</v>
      </c>
      <c r="AA15" s="94">
        <v>300</v>
      </c>
      <c r="AB15" s="12">
        <v>12</v>
      </c>
      <c r="AC15" s="12">
        <v>10</v>
      </c>
    </row>
    <row r="16" spans="1:29" ht="17.25">
      <c r="A16" s="70"/>
      <c r="B16" s="200" t="str">
        <f>IF(OR($D$3&lt;&gt;$H$42,H54=3000),"*** Only the M106, M109, M455 and M6X5 NVR models can support the 3TB HDD size or above!!","")</f>
        <v/>
      </c>
      <c r="C16" s="200"/>
      <c r="D16" s="200"/>
      <c r="E16" s="73"/>
      <c r="F16" s="1"/>
      <c r="G16">
        <f>IF($D$3=$H$42,6,IF($D$3=$H$43,1,IF($D$3=$H$44,8)))</f>
        <v>6</v>
      </c>
      <c r="H16" s="16" t="s">
        <v>2</v>
      </c>
      <c r="I16" s="17" t="s">
        <v>11</v>
      </c>
      <c r="J16" s="37"/>
      <c r="K16" s="37"/>
      <c r="L16" s="37"/>
      <c r="M16" s="37">
        <v>97</v>
      </c>
      <c r="N16" s="37"/>
      <c r="O16" s="37"/>
      <c r="P16" s="37"/>
      <c r="Q16" s="37">
        <v>69</v>
      </c>
      <c r="R16" s="37">
        <v>97</v>
      </c>
      <c r="S16" s="37"/>
      <c r="T16" s="38"/>
      <c r="U16" s="37">
        <v>148</v>
      </c>
      <c r="V16" s="39">
        <v>219.04</v>
      </c>
      <c r="W16" s="40">
        <v>388</v>
      </c>
      <c r="X16" s="40"/>
      <c r="Y16" s="40"/>
      <c r="Z16" s="12">
        <v>14</v>
      </c>
      <c r="AA16" s="94">
        <v>330</v>
      </c>
      <c r="AB16" s="12">
        <v>13</v>
      </c>
      <c r="AC16" s="12">
        <v>11</v>
      </c>
    </row>
    <row r="17" spans="1:29" ht="17.25">
      <c r="A17" s="70"/>
      <c r="B17" s="71" t="s">
        <v>26</v>
      </c>
      <c r="C17" s="72"/>
      <c r="D17" s="11">
        <f>D19*86400*D11/1000/8*1.1</f>
        <v>818.29440000000011</v>
      </c>
      <c r="E17" s="73"/>
      <c r="F17" s="1"/>
      <c r="G17">
        <f>IF($D$3=$H$42,4,IF($D$3=$H$43,1,IF($D$3=$H$44,1)))</f>
        <v>4</v>
      </c>
      <c r="H17" s="16" t="s">
        <v>147</v>
      </c>
      <c r="I17" s="17" t="s">
        <v>13</v>
      </c>
      <c r="J17" s="18"/>
      <c r="K17" s="18"/>
      <c r="L17" s="18"/>
      <c r="M17" s="18">
        <v>205</v>
      </c>
      <c r="N17" s="18"/>
      <c r="O17" s="18"/>
      <c r="P17" s="18"/>
      <c r="Q17" s="18">
        <v>97</v>
      </c>
      <c r="R17" s="18">
        <v>134</v>
      </c>
      <c r="S17" s="18">
        <v>205</v>
      </c>
      <c r="T17" s="19">
        <v>205</v>
      </c>
      <c r="U17" s="18">
        <v>205</v>
      </c>
      <c r="V17" s="41">
        <v>303.39999999999998</v>
      </c>
      <c r="W17" s="42">
        <v>536</v>
      </c>
      <c r="X17" s="42"/>
      <c r="Y17" s="42"/>
      <c r="Z17" s="12">
        <v>15</v>
      </c>
      <c r="AA17" s="94">
        <v>365</v>
      </c>
      <c r="AB17" s="12">
        <v>14</v>
      </c>
      <c r="AC17" s="12">
        <v>12</v>
      </c>
    </row>
    <row r="18" spans="1:29" ht="17.25">
      <c r="A18" s="70"/>
      <c r="B18" s="181" t="s">
        <v>167</v>
      </c>
      <c r="C18" s="72"/>
      <c r="D18" s="183">
        <v>0</v>
      </c>
      <c r="E18" s="73"/>
      <c r="F18" s="1"/>
      <c r="G18">
        <f>IF($D$3=$H$42,2,IF($D$3=$H$43,1,IF($D$3=$H$44,1)))</f>
        <v>2</v>
      </c>
      <c r="H18" s="16" t="s">
        <v>155</v>
      </c>
      <c r="I18" s="43" t="s">
        <v>14</v>
      </c>
      <c r="J18" s="44"/>
      <c r="K18" s="44"/>
      <c r="L18" s="44"/>
      <c r="M18" s="44">
        <v>233</v>
      </c>
      <c r="N18" s="44"/>
      <c r="O18" s="44"/>
      <c r="P18" s="44"/>
      <c r="Q18" s="44">
        <v>165</v>
      </c>
      <c r="R18" s="44">
        <v>233</v>
      </c>
      <c r="S18" s="44"/>
      <c r="T18" s="45"/>
      <c r="U18" s="44">
        <v>369</v>
      </c>
      <c r="V18" s="46">
        <v>546.12</v>
      </c>
      <c r="W18" s="47">
        <v>932</v>
      </c>
      <c r="X18" s="47"/>
      <c r="Y18" s="47"/>
      <c r="Z18" s="12">
        <v>16</v>
      </c>
      <c r="AA18" s="15"/>
      <c r="AB18" s="12">
        <v>15</v>
      </c>
      <c r="AC18" s="12"/>
    </row>
    <row r="19" spans="1:29" ht="17.25">
      <c r="A19" s="70"/>
      <c r="B19" s="71" t="s">
        <v>166</v>
      </c>
      <c r="C19" s="72"/>
      <c r="D19" s="7">
        <f>IF(D18&lt;&gt;0,D18,IF(D7=H20,(SUM(J24:Y24)*D9*8)/1000,IF(D7=H21,(((SUM(J24:Y24)*(D9*2-1)*8)/1000/5+(SUM(J24:Y24)*8)/1000)/2)*5/6,IF(D7=H22,((SUM(J24:Y24)*(D9*2-1)*8)/1000/5+(SUM(J24:Y24)*8)/1000)/2,"error"))))</f>
        <v>0.38266666666666671</v>
      </c>
      <c r="E19" s="73"/>
      <c r="F19" s="1"/>
      <c r="H19" s="53" t="s">
        <v>20</v>
      </c>
      <c r="I19" s="48"/>
      <c r="J19" s="49"/>
      <c r="K19" s="49"/>
      <c r="L19" s="49"/>
      <c r="M19" s="49"/>
      <c r="N19" s="49"/>
      <c r="O19" s="49"/>
      <c r="P19" s="49"/>
      <c r="Q19" s="49"/>
      <c r="R19" s="49"/>
      <c r="S19" s="48"/>
      <c r="T19" s="48"/>
      <c r="U19" s="49"/>
      <c r="V19" s="48"/>
      <c r="W19" s="36"/>
      <c r="X19" s="36"/>
      <c r="Y19" s="36"/>
      <c r="Z19" s="12">
        <v>17</v>
      </c>
      <c r="AA19" s="21"/>
      <c r="AB19" s="12">
        <v>16</v>
      </c>
      <c r="AC19" s="12"/>
    </row>
    <row r="20" spans="1:29" ht="17.25">
      <c r="A20" s="70"/>
      <c r="B20" s="74"/>
      <c r="C20" s="72"/>
      <c r="D20" s="78"/>
      <c r="E20" s="73"/>
      <c r="F20" s="1"/>
      <c r="H20" s="16" t="s">
        <v>44</v>
      </c>
      <c r="I20" s="56" t="s">
        <v>29</v>
      </c>
      <c r="J20" s="54"/>
      <c r="K20" s="54"/>
      <c r="L20" s="54"/>
      <c r="M20" s="54"/>
      <c r="N20" s="54"/>
      <c r="O20" s="54"/>
      <c r="P20" s="54"/>
      <c r="Q20" s="54"/>
      <c r="R20" s="54"/>
      <c r="S20" s="48"/>
      <c r="T20" s="48"/>
      <c r="U20" s="54"/>
      <c r="V20" s="48"/>
      <c r="W20" s="36"/>
      <c r="X20" s="36"/>
      <c r="Y20" s="36"/>
      <c r="Z20" s="12">
        <v>18</v>
      </c>
      <c r="AA20" s="21"/>
      <c r="AB20" s="12">
        <v>17</v>
      </c>
      <c r="AC20" s="12"/>
    </row>
    <row r="21" spans="1:29" ht="17.25">
      <c r="A21" s="70"/>
      <c r="B21" s="71" t="s">
        <v>30</v>
      </c>
      <c r="C21" s="72"/>
      <c r="D21" s="8">
        <f>IF(D19&lt;G1,ROUNDUP(D13/G11,0),IF(D19&lt;G2,ROUNDUP(D13/G12,0),IF(D19&lt;G3,ROUNDUP(D13/G13,0),IF(D19&lt;G4,ROUNDUP(D13/G14,0),IF(D19&lt;G5,ROUNDUP(D13/G15,0),IF(D19&lt;G6,ROUNDUP(D13/G16,0),IF(D19&lt;G7,ROUNDUP(D13/G17,0),IF(D19&lt;G8,ROUNDUP(D13/G18,0)," "))))))))</f>
        <v>2</v>
      </c>
      <c r="E21" s="73"/>
      <c r="F21" s="1"/>
      <c r="H21" s="16" t="s">
        <v>43</v>
      </c>
      <c r="I21" s="56"/>
      <c r="J21" s="54"/>
      <c r="K21" s="54"/>
      <c r="L21" s="54"/>
      <c r="M21" s="54"/>
      <c r="N21" s="54"/>
      <c r="O21" s="54"/>
      <c r="P21" s="54"/>
      <c r="Q21" s="54"/>
      <c r="R21" s="54"/>
      <c r="S21" s="48"/>
      <c r="T21" s="48"/>
      <c r="U21" s="54"/>
      <c r="V21" s="48"/>
      <c r="W21" s="36"/>
      <c r="X21" s="36"/>
      <c r="Y21" s="36"/>
      <c r="Z21" s="12">
        <v>19</v>
      </c>
      <c r="AA21" s="21"/>
      <c r="AB21" s="12">
        <v>18</v>
      </c>
      <c r="AC21" s="12"/>
    </row>
    <row r="22" spans="1:29" ht="17.25">
      <c r="A22" s="70"/>
      <c r="B22" s="198" t="str">
        <f>IF(AND(D21&gt;4,$D$3=$H$42),"New Enterorise NVR cannot has more than 4 Storage Volumes and support RAID recording only, Please reduce total camera quantity!!",IF(AND(D21&gt;5,$D$3=$H$44),"Standalone NVR cannot has more than 5 Storage Volumes, Please reduce total camera quantity!!",IF(AND($D$3=$H$43,D21&gt;16),"Enterprise NVR cannot has more than 16 Storage Volumes, Please reduce total camera quantity!!","")))</f>
        <v/>
      </c>
      <c r="C22" s="198"/>
      <c r="D22" s="198"/>
      <c r="E22" s="199"/>
      <c r="F22" s="1"/>
      <c r="H22" s="16" t="s">
        <v>42</v>
      </c>
      <c r="I22" s="33" t="s">
        <v>3</v>
      </c>
      <c r="J22" s="34" t="s">
        <v>56</v>
      </c>
      <c r="K22" s="34" t="s">
        <v>55</v>
      </c>
      <c r="L22" s="34" t="s">
        <v>54</v>
      </c>
      <c r="M22" s="34" t="s">
        <v>45</v>
      </c>
      <c r="N22" s="34" t="s">
        <v>52</v>
      </c>
      <c r="O22" s="34" t="s">
        <v>119</v>
      </c>
      <c r="P22" s="34" t="s">
        <v>113</v>
      </c>
      <c r="Q22" s="34" t="s">
        <v>47</v>
      </c>
      <c r="R22" s="34" t="s">
        <v>4</v>
      </c>
      <c r="S22" s="34" t="s">
        <v>151</v>
      </c>
      <c r="T22" s="34" t="s">
        <v>5</v>
      </c>
      <c r="U22" s="34" t="s">
        <v>6</v>
      </c>
      <c r="V22" s="34" t="s">
        <v>8</v>
      </c>
      <c r="W22" s="35" t="s">
        <v>9</v>
      </c>
      <c r="X22" s="35" t="s">
        <v>152</v>
      </c>
      <c r="Y22" s="35" t="s">
        <v>152</v>
      </c>
      <c r="Z22" s="12">
        <v>20</v>
      </c>
      <c r="AA22" s="21"/>
      <c r="AB22" s="12">
        <v>19</v>
      </c>
      <c r="AC22" s="12"/>
    </row>
    <row r="23" spans="1:29" ht="17.25">
      <c r="A23" s="70"/>
      <c r="B23" s="71" t="s">
        <v>31</v>
      </c>
      <c r="C23" s="72"/>
      <c r="D23" s="9">
        <f>ROUNDUP(ROUNDUP(D13/D21,0)*D17/H54,0)</f>
        <v>9</v>
      </c>
      <c r="E23" s="73"/>
      <c r="F23" s="1"/>
      <c r="H23" s="59" t="s">
        <v>28</v>
      </c>
      <c r="I23" s="17" t="s">
        <v>11</v>
      </c>
      <c r="J23" s="18"/>
      <c r="K23" s="18"/>
      <c r="L23" s="18"/>
      <c r="M23" s="18"/>
      <c r="N23" s="18"/>
      <c r="O23" s="18"/>
      <c r="P23" s="18"/>
      <c r="Q23" s="18"/>
      <c r="R23" s="18"/>
      <c r="S23" s="18"/>
      <c r="T23" s="18"/>
      <c r="U23" s="18"/>
      <c r="V23" s="18"/>
      <c r="W23" s="57"/>
      <c r="X23" s="57"/>
      <c r="Y23" s="57"/>
      <c r="Z23" s="12">
        <v>21</v>
      </c>
      <c r="AA23" s="21"/>
      <c r="AB23" s="12">
        <v>20</v>
      </c>
      <c r="AC23" s="12"/>
    </row>
    <row r="24" spans="1:29" ht="17.25">
      <c r="A24" s="70"/>
      <c r="B24" s="74"/>
      <c r="C24" s="72"/>
      <c r="D24" s="95"/>
      <c r="E24" s="73"/>
      <c r="F24" s="1"/>
      <c r="H24" s="55">
        <v>750</v>
      </c>
      <c r="I24" s="17" t="s">
        <v>13</v>
      </c>
      <c r="J24" s="18">
        <f>IF($D$5=$H$3,J7,0)</f>
        <v>0</v>
      </c>
      <c r="K24" s="18">
        <f>IF($D$5=$H$4,K7,0)</f>
        <v>0</v>
      </c>
      <c r="L24" s="18">
        <f>IF($D$5=$H$5,L7,0)</f>
        <v>0</v>
      </c>
      <c r="M24" s="18">
        <f>IF($D$5=$H$6,M7,0)</f>
        <v>41</v>
      </c>
      <c r="N24" s="18">
        <f>IF($D$5=$H$7,N7,0)</f>
        <v>0</v>
      </c>
      <c r="O24" s="18">
        <f>IF($D$5=$H$8,O7,0)</f>
        <v>0</v>
      </c>
      <c r="P24" s="18">
        <f>IF($D$5=$H$9,P7,0)</f>
        <v>0</v>
      </c>
      <c r="Q24" s="18">
        <f>IF($D$5=$H$10,Q7,0)</f>
        <v>0</v>
      </c>
      <c r="R24" s="18">
        <f>IF($D$5=$H$11,R7,0)</f>
        <v>0</v>
      </c>
      <c r="S24" s="18">
        <f>IF($D$5=$H$12,S7,0)</f>
        <v>0</v>
      </c>
      <c r="T24" s="18">
        <f>IF($D$5=$H$13,T7,0)</f>
        <v>0</v>
      </c>
      <c r="U24" s="18">
        <f>IF($D$5=$H$14,U7,0)</f>
        <v>0</v>
      </c>
      <c r="V24" s="18">
        <f>IF($D$5=$H$15,V7,0)</f>
        <v>0</v>
      </c>
      <c r="W24" s="57">
        <f>IF($D$5=$H$16,W7,0)</f>
        <v>0</v>
      </c>
      <c r="X24" s="57">
        <f>IF($D$5=$H$17,X7,0)</f>
        <v>0</v>
      </c>
      <c r="Y24" s="57">
        <f>IF($D$5=$H$18,Y7,0)</f>
        <v>0</v>
      </c>
      <c r="Z24" s="12">
        <v>22</v>
      </c>
      <c r="AA24" s="21"/>
      <c r="AB24" s="12">
        <v>21</v>
      </c>
      <c r="AC24" s="12"/>
    </row>
    <row r="25" spans="1:29" ht="17.25">
      <c r="A25" s="70"/>
      <c r="B25" s="71" t="s">
        <v>33</v>
      </c>
      <c r="C25" s="72"/>
      <c r="D25" s="9">
        <f>D21*D23</f>
        <v>18</v>
      </c>
      <c r="E25" s="73"/>
      <c r="F25" s="1"/>
      <c r="H25" s="55">
        <v>1000</v>
      </c>
      <c r="I25" s="43" t="s">
        <v>14</v>
      </c>
      <c r="J25" s="44"/>
      <c r="K25" s="44"/>
      <c r="L25" s="44"/>
      <c r="M25" s="44"/>
      <c r="N25" s="44"/>
      <c r="O25" s="44"/>
      <c r="P25" s="44"/>
      <c r="Q25" s="44"/>
      <c r="R25" s="44"/>
      <c r="S25" s="44"/>
      <c r="T25" s="44"/>
      <c r="U25" s="44"/>
      <c r="V25" s="44"/>
      <c r="W25" s="58"/>
      <c r="X25" s="58"/>
      <c r="Y25" s="58"/>
      <c r="Z25" s="12">
        <v>23</v>
      </c>
      <c r="AA25" s="21"/>
      <c r="AB25" s="12">
        <v>22</v>
      </c>
      <c r="AC25" s="12"/>
    </row>
    <row r="26" spans="1:29" ht="17.25">
      <c r="A26" s="70"/>
      <c r="B26" s="74"/>
      <c r="C26" s="72"/>
      <c r="D26" s="120" t="str">
        <f>IF(D25&gt;6,IF($D$3=$H$44,"Total Required HDDs Exceed Standalone NVR series Limitation",IF($D$3=$H$43,IF(D25&gt;64,"Total Required HDDs Exceed Limitation!!",""),"")),"")</f>
        <v/>
      </c>
      <c r="E26" s="73"/>
      <c r="F26" s="1"/>
      <c r="H26" s="55">
        <v>1500</v>
      </c>
      <c r="I26" s="48"/>
      <c r="J26" s="49"/>
      <c r="K26" s="49"/>
      <c r="L26" s="49"/>
      <c r="M26" s="49"/>
      <c r="N26" s="49"/>
      <c r="O26" s="49"/>
      <c r="P26" s="49"/>
      <c r="Q26" s="49"/>
      <c r="R26" s="49"/>
      <c r="S26" s="48"/>
      <c r="T26" s="48"/>
      <c r="U26" s="49"/>
      <c r="V26" s="48"/>
      <c r="W26" s="36"/>
      <c r="X26" s="36"/>
      <c r="Y26" s="36"/>
      <c r="Z26" s="12">
        <v>24</v>
      </c>
      <c r="AA26" s="21"/>
      <c r="AB26" s="12">
        <v>23</v>
      </c>
      <c r="AC26" s="12"/>
    </row>
    <row r="27" spans="1:29" ht="17.25">
      <c r="A27" s="70"/>
      <c r="B27" s="71" t="s">
        <v>36</v>
      </c>
      <c r="C27" s="72"/>
      <c r="D27" s="10">
        <f>SUM(ROUNDUP(D13/D21,0))</f>
        <v>20</v>
      </c>
      <c r="E27" s="73"/>
      <c r="F27" s="1"/>
      <c r="H27" s="55">
        <v>2000</v>
      </c>
      <c r="I27" s="33"/>
      <c r="J27" s="34"/>
      <c r="K27" s="34"/>
      <c r="L27" s="34"/>
      <c r="M27" s="34"/>
      <c r="N27" s="34"/>
      <c r="O27" s="34"/>
      <c r="P27" s="34"/>
      <c r="Q27" s="34"/>
      <c r="R27" s="34"/>
      <c r="S27" s="34"/>
      <c r="T27" s="34"/>
      <c r="U27" s="34"/>
      <c r="V27" s="34"/>
      <c r="W27" s="35"/>
      <c r="X27" s="35"/>
      <c r="Y27" s="35"/>
      <c r="Z27" s="12">
        <v>25</v>
      </c>
      <c r="AA27" s="21"/>
      <c r="AB27" s="12">
        <v>24</v>
      </c>
      <c r="AC27" s="12"/>
    </row>
    <row r="28" spans="1:29" ht="17.25">
      <c r="A28" s="70"/>
      <c r="B28" s="74"/>
      <c r="C28" s="72"/>
      <c r="D28" s="78"/>
      <c r="E28" s="73"/>
      <c r="F28" s="1"/>
      <c r="H28" s="53" t="s">
        <v>32</v>
      </c>
      <c r="I28" s="17"/>
      <c r="J28" s="37"/>
      <c r="K28" s="37"/>
      <c r="L28" s="37"/>
      <c r="M28" s="37"/>
      <c r="N28" s="37"/>
      <c r="O28" s="37"/>
      <c r="P28" s="37"/>
      <c r="Q28" s="37"/>
      <c r="R28" s="37"/>
      <c r="S28" s="37"/>
      <c r="T28" s="60"/>
      <c r="U28" s="37"/>
      <c r="V28" s="60"/>
      <c r="W28" s="61"/>
      <c r="X28" s="61"/>
      <c r="Y28" s="61"/>
      <c r="Z28" s="12">
        <v>26</v>
      </c>
      <c r="AA28" s="21"/>
      <c r="AB28" s="12">
        <v>25</v>
      </c>
    </row>
    <row r="29" spans="1:29" ht="17.25">
      <c r="A29" s="188" t="s">
        <v>38</v>
      </c>
      <c r="B29" s="188"/>
      <c r="C29" s="188"/>
      <c r="D29" s="188"/>
      <c r="E29" s="188"/>
      <c r="F29" s="1"/>
      <c r="H29" s="16" t="s">
        <v>34</v>
      </c>
      <c r="I29" s="17"/>
      <c r="J29" s="18"/>
      <c r="K29" s="18"/>
      <c r="L29" s="18"/>
      <c r="M29" s="18"/>
      <c r="N29" s="18"/>
      <c r="O29" s="18"/>
      <c r="P29" s="18"/>
      <c r="Q29" s="18"/>
      <c r="R29" s="18"/>
      <c r="S29" s="18"/>
      <c r="T29" s="19"/>
      <c r="U29" s="18"/>
      <c r="V29" s="19"/>
      <c r="W29" s="20"/>
      <c r="X29" s="20"/>
      <c r="Y29" s="20"/>
      <c r="Z29" s="12">
        <v>27</v>
      </c>
      <c r="AA29" s="21"/>
      <c r="AB29" s="12">
        <v>26</v>
      </c>
    </row>
    <row r="30" spans="1:29" ht="17.25">
      <c r="A30" s="188" t="s">
        <v>40</v>
      </c>
      <c r="B30" s="188"/>
      <c r="C30" s="188"/>
      <c r="D30" s="188"/>
      <c r="E30" s="188"/>
      <c r="F30" s="1"/>
      <c r="H30" s="16" t="s">
        <v>35</v>
      </c>
      <c r="I30" s="43"/>
      <c r="J30" s="44"/>
      <c r="K30" s="44"/>
      <c r="L30" s="44"/>
      <c r="M30" s="44"/>
      <c r="N30" s="44"/>
      <c r="O30" s="44"/>
      <c r="P30" s="44"/>
      <c r="Q30" s="44"/>
      <c r="R30" s="44"/>
      <c r="S30" s="44"/>
      <c r="T30" s="45"/>
      <c r="U30" s="44"/>
      <c r="V30" s="45"/>
      <c r="W30" s="63"/>
      <c r="X30" s="63"/>
      <c r="Y30" s="63"/>
      <c r="Z30" s="12">
        <v>28</v>
      </c>
      <c r="AA30" s="21"/>
      <c r="AB30" s="12">
        <v>27</v>
      </c>
    </row>
    <row r="31" spans="1:29" ht="51" customHeight="1">
      <c r="A31" s="189" t="s">
        <v>168</v>
      </c>
      <c r="B31" s="190"/>
      <c r="C31" s="190"/>
      <c r="D31" s="190"/>
      <c r="E31" s="191"/>
      <c r="F31" s="1"/>
      <c r="H31" s="16" t="s">
        <v>37</v>
      </c>
      <c r="I31" s="99"/>
      <c r="J31" s="49"/>
      <c r="K31" s="49"/>
      <c r="L31" s="49"/>
      <c r="M31" s="49"/>
      <c r="N31" s="49"/>
      <c r="O31" s="49"/>
      <c r="P31" s="49"/>
      <c r="Q31" s="49"/>
      <c r="R31" s="49"/>
      <c r="S31" s="48"/>
      <c r="T31" s="48"/>
      <c r="U31" s="49"/>
      <c r="V31" s="48"/>
      <c r="W31" s="36"/>
      <c r="X31" s="36"/>
      <c r="Y31" s="36"/>
      <c r="Z31" s="12">
        <v>29</v>
      </c>
      <c r="AA31" s="21"/>
      <c r="AB31" s="12">
        <v>28</v>
      </c>
    </row>
    <row r="32" spans="1:29" ht="17.25">
      <c r="A32" s="195" t="s">
        <v>61</v>
      </c>
      <c r="B32" s="196"/>
      <c r="C32" s="196"/>
      <c r="D32" s="196"/>
      <c r="E32" s="197"/>
      <c r="F32" s="1"/>
      <c r="H32" s="53" t="s">
        <v>23</v>
      </c>
      <c r="I32" s="33"/>
      <c r="J32" s="34"/>
      <c r="K32" s="34"/>
      <c r="L32" s="34"/>
      <c r="M32" s="34"/>
      <c r="N32" s="34"/>
      <c r="O32" s="34"/>
      <c r="P32" s="34"/>
      <c r="Q32" s="34"/>
      <c r="R32" s="34"/>
      <c r="S32" s="34"/>
      <c r="T32" s="34"/>
      <c r="U32" s="34"/>
      <c r="V32" s="34"/>
      <c r="W32" s="35"/>
      <c r="X32" s="35"/>
      <c r="Y32" s="35"/>
      <c r="Z32" s="12">
        <v>30</v>
      </c>
      <c r="AA32" s="21"/>
      <c r="AB32" s="12">
        <v>29</v>
      </c>
    </row>
    <row r="33" spans="1:28" ht="18" thickBot="1">
      <c r="A33" s="79"/>
      <c r="B33" s="80"/>
      <c r="C33" s="81"/>
      <c r="D33" s="82"/>
      <c r="E33" s="83"/>
      <c r="F33" s="1"/>
      <c r="H33" s="16" t="s">
        <v>24</v>
      </c>
      <c r="I33" s="17"/>
      <c r="J33" s="37"/>
      <c r="K33" s="37"/>
      <c r="L33" s="37"/>
      <c r="M33" s="37"/>
      <c r="N33" s="37"/>
      <c r="O33" s="37"/>
      <c r="P33" s="37"/>
      <c r="Q33" s="37"/>
      <c r="R33" s="37"/>
      <c r="S33" s="37"/>
      <c r="T33" s="38"/>
      <c r="U33" s="37"/>
      <c r="V33" s="38"/>
      <c r="W33" s="64"/>
      <c r="X33" s="64"/>
      <c r="Y33" s="64"/>
      <c r="Z33" s="12">
        <v>31</v>
      </c>
      <c r="AA33" s="21"/>
      <c r="AB33" s="12">
        <v>30</v>
      </c>
    </row>
    <row r="34" spans="1:28" ht="25.5">
      <c r="A34" s="192" t="s">
        <v>130</v>
      </c>
      <c r="B34" s="193"/>
      <c r="C34" s="193"/>
      <c r="D34" s="193"/>
      <c r="E34" s="194"/>
      <c r="F34" s="1"/>
      <c r="H34" s="16" t="s">
        <v>25</v>
      </c>
      <c r="I34" s="98"/>
      <c r="J34" s="18"/>
      <c r="K34" s="18"/>
      <c r="L34" s="18"/>
      <c r="M34" s="18"/>
      <c r="N34" s="18"/>
      <c r="O34" s="18"/>
      <c r="P34" s="18"/>
      <c r="Q34" s="18"/>
      <c r="R34" s="18"/>
      <c r="S34" s="18"/>
      <c r="T34" s="19"/>
      <c r="U34" s="18"/>
      <c r="V34" s="19"/>
      <c r="W34" s="20"/>
      <c r="X34" s="20"/>
      <c r="Y34" s="20"/>
      <c r="Z34" s="12">
        <v>32</v>
      </c>
      <c r="AA34" s="21"/>
      <c r="AB34" s="12">
        <v>31</v>
      </c>
    </row>
    <row r="35" spans="1:28" ht="18" thickBot="1">
      <c r="A35" s="84"/>
      <c r="B35" s="85"/>
      <c r="C35" s="86"/>
      <c r="D35" s="87"/>
      <c r="E35" s="88"/>
      <c r="F35" s="1"/>
      <c r="H35" s="16" t="s">
        <v>27</v>
      </c>
      <c r="I35" s="22"/>
      <c r="J35" s="23"/>
      <c r="K35" s="23"/>
      <c r="L35" s="23"/>
      <c r="M35" s="23"/>
      <c r="N35" s="23"/>
      <c r="O35" s="23"/>
      <c r="P35" s="23"/>
      <c r="Q35" s="23"/>
      <c r="R35" s="23"/>
      <c r="S35" s="23"/>
      <c r="T35" s="24"/>
      <c r="U35" s="23"/>
      <c r="V35" s="24"/>
      <c r="W35" s="25"/>
      <c r="X35" s="25"/>
      <c r="Y35" s="25"/>
      <c r="Z35" s="12">
        <v>33</v>
      </c>
      <c r="AA35" s="21"/>
      <c r="AB35" s="12">
        <v>32</v>
      </c>
    </row>
    <row r="36" spans="1:28" ht="17.25">
      <c r="A36" s="12"/>
      <c r="B36" s="13"/>
      <c r="C36" s="12"/>
      <c r="D36" s="14"/>
      <c r="E36" s="12"/>
      <c r="F36" s="1"/>
      <c r="H36" s="59" t="s">
        <v>39</v>
      </c>
      <c r="I36" s="15"/>
      <c r="J36" s="15"/>
      <c r="K36" s="15"/>
      <c r="L36" s="15"/>
      <c r="M36" s="15"/>
      <c r="N36" s="15"/>
      <c r="O36" s="15"/>
      <c r="P36" s="15"/>
      <c r="Q36" s="15"/>
      <c r="R36" s="15"/>
      <c r="S36" s="15"/>
      <c r="T36" s="15"/>
      <c r="U36" s="15"/>
      <c r="V36" s="15"/>
      <c r="W36" s="15"/>
      <c r="X36" s="15"/>
      <c r="Y36" s="15"/>
      <c r="Z36" s="12">
        <v>34</v>
      </c>
      <c r="AA36" s="21"/>
      <c r="AB36" s="12"/>
    </row>
    <row r="37" spans="1:28" ht="17.25">
      <c r="A37" s="12"/>
      <c r="B37" s="13"/>
      <c r="C37" s="12"/>
      <c r="D37" s="14"/>
      <c r="E37" s="12"/>
      <c r="F37" s="1"/>
      <c r="H37" s="62">
        <v>0.25</v>
      </c>
      <c r="I37" s="15"/>
      <c r="J37" s="15"/>
      <c r="K37" s="15"/>
      <c r="L37" s="15"/>
      <c r="M37" s="15"/>
      <c r="N37" s="15"/>
      <c r="O37" s="15"/>
      <c r="P37" s="15"/>
      <c r="Q37" s="15"/>
      <c r="R37" s="15"/>
      <c r="S37" s="15"/>
      <c r="T37" s="15"/>
      <c r="U37" s="15"/>
      <c r="V37" s="15"/>
      <c r="W37" s="15"/>
      <c r="X37" s="15"/>
      <c r="Y37" s="15"/>
      <c r="Z37" s="12">
        <v>35</v>
      </c>
      <c r="AA37" s="21"/>
    </row>
    <row r="38" spans="1:28" ht="17.25">
      <c r="A38" s="12"/>
      <c r="B38" s="13"/>
      <c r="C38" s="12"/>
      <c r="D38" s="14"/>
      <c r="E38" s="12"/>
      <c r="F38" s="15"/>
      <c r="H38" s="62">
        <v>0.5</v>
      </c>
      <c r="I38" s="15"/>
      <c r="J38" s="15"/>
      <c r="K38" s="15"/>
      <c r="L38" s="15"/>
      <c r="M38" s="15"/>
      <c r="N38" s="15"/>
      <c r="O38" s="15"/>
      <c r="P38" s="15"/>
      <c r="Q38" s="15"/>
      <c r="R38" s="15"/>
      <c r="S38" s="15"/>
      <c r="T38" s="15"/>
      <c r="U38" s="15"/>
      <c r="V38" s="15"/>
      <c r="W38" s="15"/>
      <c r="X38" s="15"/>
      <c r="Y38" s="15"/>
      <c r="Z38" s="12">
        <v>36</v>
      </c>
      <c r="AA38" s="21"/>
      <c r="AB38" s="21"/>
    </row>
    <row r="39" spans="1:28" ht="17.25">
      <c r="A39" s="12"/>
      <c r="B39" s="13"/>
      <c r="C39" s="12"/>
      <c r="D39" s="14"/>
      <c r="E39" s="12"/>
      <c r="F39" s="12"/>
      <c r="H39" s="97">
        <v>0.75</v>
      </c>
      <c r="I39" s="15"/>
      <c r="J39" s="15"/>
      <c r="K39" s="15"/>
      <c r="L39" s="15"/>
      <c r="M39" s="15"/>
      <c r="N39" s="15"/>
      <c r="O39" s="15"/>
      <c r="P39" s="15"/>
      <c r="Q39" s="15"/>
      <c r="R39" s="15"/>
      <c r="S39" s="15"/>
      <c r="T39" s="15"/>
      <c r="U39" s="15"/>
      <c r="V39" s="15"/>
      <c r="W39" s="15"/>
      <c r="X39" s="15"/>
      <c r="Y39" s="15"/>
      <c r="Z39" s="12">
        <v>37</v>
      </c>
      <c r="AA39" s="21"/>
      <c r="AB39" s="21"/>
    </row>
    <row r="40" spans="1:28" ht="18" thickBot="1">
      <c r="A40" s="12"/>
      <c r="B40" s="13"/>
      <c r="C40" s="12"/>
      <c r="D40" s="14"/>
      <c r="E40" s="12"/>
      <c r="F40" s="12"/>
      <c r="H40" s="96">
        <v>1</v>
      </c>
      <c r="I40" s="15"/>
      <c r="J40" s="15"/>
      <c r="K40" s="15"/>
      <c r="L40" s="15"/>
      <c r="M40" s="15"/>
      <c r="N40" s="15"/>
      <c r="O40" s="15"/>
      <c r="P40" s="15"/>
      <c r="Q40" s="15"/>
      <c r="R40" s="15"/>
      <c r="S40" s="15"/>
      <c r="T40" s="15"/>
      <c r="U40" s="15"/>
      <c r="V40" s="15"/>
      <c r="W40" s="15"/>
      <c r="X40" s="15"/>
      <c r="Y40" s="15"/>
      <c r="Z40" s="12">
        <v>38</v>
      </c>
      <c r="AA40" s="21"/>
      <c r="AB40" s="21"/>
    </row>
    <row r="41" spans="1:28" ht="18" thickTop="1">
      <c r="A41" s="12"/>
      <c r="B41" s="13"/>
      <c r="C41" s="12"/>
      <c r="D41" s="14"/>
      <c r="E41" s="12"/>
      <c r="F41" s="12"/>
      <c r="H41" s="185" t="s">
        <v>177</v>
      </c>
      <c r="I41" s="15"/>
      <c r="J41" s="15"/>
      <c r="K41" s="15"/>
      <c r="L41" s="15"/>
      <c r="M41" s="15"/>
      <c r="N41" s="15"/>
      <c r="O41" s="15"/>
      <c r="P41" s="15"/>
      <c r="Q41" s="15"/>
      <c r="R41" s="15"/>
      <c r="S41" s="15"/>
      <c r="T41" s="15"/>
      <c r="U41" s="15"/>
      <c r="V41" s="15"/>
      <c r="W41" s="15"/>
      <c r="X41" s="15"/>
      <c r="Y41" s="15"/>
      <c r="Z41" s="12">
        <v>39</v>
      </c>
      <c r="AA41" s="21"/>
      <c r="AB41" s="21"/>
    </row>
    <row r="42" spans="1:28" ht="17.25">
      <c r="A42" s="12"/>
      <c r="B42" s="13"/>
      <c r="C42" s="12"/>
      <c r="D42" s="14"/>
      <c r="E42" s="12"/>
      <c r="F42" s="12"/>
      <c r="H42" s="62" t="s">
        <v>178</v>
      </c>
      <c r="I42" s="15"/>
      <c r="J42" s="15"/>
      <c r="K42" s="15"/>
      <c r="L42" s="15"/>
      <c r="M42" s="15"/>
      <c r="N42" s="15"/>
      <c r="O42" s="15"/>
      <c r="P42" s="15"/>
      <c r="Q42" s="15"/>
      <c r="R42" s="15"/>
      <c r="S42" s="15"/>
      <c r="T42" s="15"/>
      <c r="U42" s="15"/>
      <c r="V42" s="15"/>
      <c r="W42" s="15"/>
      <c r="X42" s="15"/>
      <c r="Y42" s="15"/>
      <c r="Z42" s="12">
        <v>40</v>
      </c>
      <c r="AA42" s="21"/>
      <c r="AB42" s="21"/>
    </row>
    <row r="43" spans="1:28" ht="17.25">
      <c r="A43" s="12"/>
      <c r="B43" s="13"/>
      <c r="C43" s="12"/>
      <c r="D43" s="14"/>
      <c r="E43" s="12"/>
      <c r="F43" s="12"/>
      <c r="H43" s="62" t="s">
        <v>138</v>
      </c>
      <c r="I43" s="15"/>
      <c r="J43" s="15"/>
      <c r="K43" s="15"/>
      <c r="L43" s="15"/>
      <c r="M43" s="15"/>
      <c r="N43" s="15"/>
      <c r="O43" s="15"/>
      <c r="P43" s="15"/>
      <c r="Q43" s="15"/>
      <c r="R43" s="15"/>
      <c r="S43" s="15"/>
      <c r="T43" s="15"/>
      <c r="U43" s="15"/>
      <c r="V43" s="15"/>
      <c r="W43" s="15"/>
      <c r="X43" s="15"/>
      <c r="Y43" s="15"/>
      <c r="Z43" s="12">
        <v>41</v>
      </c>
      <c r="AA43" s="21"/>
      <c r="AB43" s="21"/>
    </row>
    <row r="44" spans="1:28" ht="17.25">
      <c r="A44" s="12"/>
      <c r="B44" s="13"/>
      <c r="C44" s="12"/>
      <c r="D44" s="14"/>
      <c r="E44" s="12"/>
      <c r="F44" s="12"/>
      <c r="H44" s="62" t="s">
        <v>139</v>
      </c>
      <c r="I44" s="15"/>
      <c r="J44" s="15"/>
      <c r="K44" s="15"/>
      <c r="L44" s="15"/>
      <c r="M44" s="15"/>
      <c r="N44" s="15"/>
      <c r="O44" s="15"/>
      <c r="P44" s="15"/>
      <c r="Q44" s="15"/>
      <c r="R44" s="15"/>
      <c r="S44" s="15"/>
      <c r="T44" s="15"/>
      <c r="U44" s="15"/>
      <c r="V44" s="15"/>
      <c r="W44" s="15"/>
      <c r="X44" s="15"/>
      <c r="Y44" s="15"/>
      <c r="Z44" s="12">
        <v>42</v>
      </c>
      <c r="AA44" s="21"/>
      <c r="AB44" s="21"/>
    </row>
    <row r="45" spans="1:28" ht="18.75">
      <c r="A45" s="12"/>
      <c r="B45" s="13"/>
      <c r="C45" s="12"/>
      <c r="D45" s="14"/>
      <c r="E45" s="12"/>
      <c r="F45" s="12"/>
      <c r="H45" s="179" t="s">
        <v>157</v>
      </c>
      <c r="I45" s="15"/>
      <c r="J45" s="15"/>
      <c r="K45" s="15"/>
      <c r="L45" s="15"/>
      <c r="M45" s="15"/>
      <c r="N45" s="15"/>
      <c r="O45" s="15"/>
      <c r="P45" s="15"/>
      <c r="Q45" s="15"/>
      <c r="R45" s="15"/>
      <c r="S45" s="15"/>
      <c r="T45" s="15"/>
      <c r="U45" s="15"/>
      <c r="V45" s="15"/>
      <c r="W45" s="15"/>
      <c r="X45" s="15"/>
      <c r="Y45" s="15"/>
      <c r="Z45" s="12">
        <v>43</v>
      </c>
      <c r="AA45" s="21"/>
      <c r="AB45" s="21"/>
    </row>
    <row r="46" spans="1:28" ht="18.75">
      <c r="A46" s="12"/>
      <c r="B46" s="13"/>
      <c r="C46" s="12"/>
      <c r="D46" s="14"/>
      <c r="E46" s="12"/>
      <c r="F46" s="12"/>
      <c r="H46" s="179" t="s">
        <v>158</v>
      </c>
      <c r="I46" s="15"/>
      <c r="J46" s="15"/>
      <c r="K46" s="15"/>
      <c r="L46" s="15"/>
      <c r="M46" s="15"/>
      <c r="N46" s="15"/>
      <c r="O46" s="15"/>
      <c r="P46" s="15"/>
      <c r="Q46" s="15"/>
      <c r="R46" s="15"/>
      <c r="S46" s="15"/>
      <c r="T46" s="15"/>
      <c r="U46" s="15"/>
      <c r="V46" s="15"/>
      <c r="W46" s="15"/>
      <c r="X46" s="15"/>
      <c r="Y46" s="15"/>
      <c r="Z46" s="12">
        <v>44</v>
      </c>
      <c r="AA46" s="21"/>
      <c r="AB46" s="21"/>
    </row>
    <row r="47" spans="1:28" ht="18.75">
      <c r="A47" s="12"/>
      <c r="B47" s="13"/>
      <c r="C47" s="12"/>
      <c r="D47" s="14"/>
      <c r="E47" s="12"/>
      <c r="F47" s="12"/>
      <c r="H47" s="179" t="s">
        <v>159</v>
      </c>
      <c r="I47" s="12"/>
      <c r="J47" s="15"/>
      <c r="K47" s="15"/>
      <c r="L47" s="15"/>
      <c r="M47" s="15"/>
      <c r="N47" s="15"/>
      <c r="O47" s="15"/>
      <c r="P47" s="15"/>
      <c r="Q47" s="15"/>
      <c r="R47" s="15"/>
      <c r="S47" s="15"/>
      <c r="T47" s="15"/>
      <c r="U47" s="15"/>
      <c r="V47" s="15"/>
      <c r="W47" s="15"/>
      <c r="X47" s="15"/>
      <c r="Y47" s="15"/>
      <c r="Z47" s="12">
        <v>45</v>
      </c>
      <c r="AA47" s="21"/>
      <c r="AB47" s="21"/>
    </row>
    <row r="48" spans="1:28" ht="18.75">
      <c r="A48" s="12"/>
      <c r="B48" s="13"/>
      <c r="C48" s="12"/>
      <c r="D48" s="14"/>
      <c r="E48" s="12"/>
      <c r="F48" s="12"/>
      <c r="H48" s="179" t="s">
        <v>160</v>
      </c>
      <c r="I48" s="12"/>
      <c r="J48" s="15"/>
      <c r="K48" s="15"/>
      <c r="L48" s="15"/>
      <c r="M48" s="15"/>
      <c r="N48" s="15"/>
      <c r="O48" s="15"/>
      <c r="P48" s="15"/>
      <c r="Q48" s="15"/>
      <c r="R48" s="15"/>
      <c r="S48" s="15"/>
      <c r="T48" s="15"/>
      <c r="U48" s="15"/>
      <c r="V48" s="15"/>
      <c r="W48" s="15"/>
      <c r="X48" s="15"/>
      <c r="Y48" s="15"/>
      <c r="Z48" s="12">
        <v>46</v>
      </c>
      <c r="AA48" s="21"/>
      <c r="AB48" s="21"/>
    </row>
    <row r="49" spans="1:28" ht="17.25">
      <c r="A49" s="12"/>
      <c r="B49" s="13"/>
      <c r="C49" s="12"/>
      <c r="D49" s="14"/>
      <c r="E49" s="12"/>
      <c r="F49" s="12"/>
      <c r="H49" s="48" t="s">
        <v>161</v>
      </c>
      <c r="I49" s="15"/>
      <c r="J49" s="15"/>
      <c r="K49" s="15"/>
      <c r="L49" s="15"/>
      <c r="M49" s="15"/>
      <c r="N49" s="15"/>
      <c r="O49" s="15"/>
      <c r="P49" s="15"/>
      <c r="Q49" s="15"/>
      <c r="R49" s="15"/>
      <c r="S49" s="15"/>
      <c r="T49" s="15"/>
      <c r="U49" s="15"/>
      <c r="V49" s="15"/>
      <c r="W49" s="15"/>
      <c r="X49" s="15"/>
      <c r="Y49" s="15"/>
      <c r="Z49" s="12">
        <v>47</v>
      </c>
      <c r="AA49" s="21"/>
      <c r="AB49" s="21"/>
    </row>
    <row r="50" spans="1:28" ht="18.75">
      <c r="A50" s="12"/>
      <c r="B50" s="13"/>
      <c r="C50" s="12"/>
      <c r="D50" s="14"/>
      <c r="E50" s="12"/>
      <c r="F50" s="12"/>
      <c r="H50" s="179" t="s">
        <v>162</v>
      </c>
      <c r="I50" s="15"/>
      <c r="J50" s="15"/>
      <c r="K50" s="15"/>
      <c r="L50" s="15"/>
      <c r="M50" s="15"/>
      <c r="N50" s="15"/>
      <c r="O50" s="15"/>
      <c r="P50" s="15"/>
      <c r="Q50" s="15"/>
      <c r="R50" s="15"/>
      <c r="S50" s="15"/>
      <c r="T50" s="15"/>
      <c r="U50" s="15"/>
      <c r="V50" s="15"/>
      <c r="W50" s="15"/>
      <c r="X50" s="15"/>
      <c r="Y50" s="15"/>
      <c r="Z50" s="12">
        <v>48</v>
      </c>
      <c r="AA50" s="21"/>
      <c r="AB50" s="21"/>
    </row>
    <row r="51" spans="1:28" ht="18.75">
      <c r="A51" s="12"/>
      <c r="B51" s="13"/>
      <c r="C51" s="12"/>
      <c r="D51" s="14"/>
      <c r="E51" s="12"/>
      <c r="F51" s="12"/>
      <c r="H51" s="180" t="s">
        <v>163</v>
      </c>
      <c r="I51" s="15"/>
      <c r="J51" s="15"/>
      <c r="K51" s="15"/>
      <c r="L51" s="15"/>
      <c r="M51" s="15"/>
      <c r="N51" s="15"/>
      <c r="O51" s="15"/>
      <c r="P51" s="15"/>
      <c r="Q51" s="15"/>
      <c r="R51" s="15"/>
      <c r="S51" s="15"/>
      <c r="T51" s="15"/>
      <c r="U51" s="15"/>
      <c r="V51" s="15"/>
      <c r="W51" s="15"/>
      <c r="X51" s="15"/>
      <c r="Y51" s="15"/>
      <c r="Z51" s="12">
        <v>49</v>
      </c>
      <c r="AA51" s="21"/>
      <c r="AB51" s="21"/>
    </row>
    <row r="52" spans="1:28" ht="18.75">
      <c r="A52" s="15"/>
      <c r="B52" s="26"/>
      <c r="C52" s="15"/>
      <c r="D52" s="27"/>
      <c r="E52" s="15"/>
      <c r="F52" s="12"/>
      <c r="H52" s="184" t="s">
        <v>174</v>
      </c>
      <c r="I52" s="1"/>
      <c r="J52" s="1"/>
      <c r="K52" s="1"/>
      <c r="L52" s="1"/>
      <c r="M52" s="1"/>
      <c r="N52" s="1"/>
      <c r="O52" s="1"/>
      <c r="P52" s="1"/>
      <c r="Q52" s="1"/>
      <c r="R52" s="1"/>
      <c r="S52" s="1"/>
      <c r="T52" s="1"/>
      <c r="U52" s="1"/>
      <c r="V52" s="1"/>
      <c r="W52" s="1"/>
      <c r="X52" s="1"/>
      <c r="Y52" s="1"/>
      <c r="Z52" s="12">
        <v>50</v>
      </c>
      <c r="AA52" s="21"/>
      <c r="AB52" s="21"/>
    </row>
    <row r="53" spans="1:28" ht="18.75">
      <c r="A53" s="15"/>
      <c r="B53" s="26"/>
      <c r="C53" s="15"/>
      <c r="D53" s="27"/>
      <c r="E53" s="15"/>
      <c r="F53" s="12"/>
      <c r="H53" s="184" t="s">
        <v>175</v>
      </c>
      <c r="I53" s="1"/>
      <c r="J53" s="1"/>
      <c r="K53" s="1"/>
      <c r="L53" s="1"/>
      <c r="M53" s="1"/>
      <c r="N53" s="1"/>
      <c r="O53" s="1"/>
      <c r="P53" s="1"/>
      <c r="Q53" s="1"/>
      <c r="R53" s="1"/>
      <c r="S53" s="1"/>
      <c r="T53" s="1"/>
      <c r="U53" s="1"/>
      <c r="V53" s="1"/>
      <c r="W53" s="1"/>
      <c r="X53" s="1"/>
      <c r="Y53" s="1"/>
      <c r="Z53" s="12">
        <v>51</v>
      </c>
      <c r="AA53" s="21"/>
      <c r="AB53" s="21"/>
    </row>
    <row r="54" spans="1:28" ht="17.25">
      <c r="A54" s="1"/>
      <c r="B54" s="5"/>
      <c r="C54" s="1"/>
      <c r="D54" s="4"/>
      <c r="E54" s="1"/>
      <c r="F54" s="12"/>
      <c r="H54" s="15">
        <f>IF(OR($D$15=$H$45,$D$15=$H$49),1000,IF(OR($D$15=$H$46,$D$15=$H$47,$D$15=$H$48,$D$15=$H$50,$D$15=$H$51),2000,IF(OR($D$15=$H$53,$D$15=$H$52),3000,2000)))</f>
        <v>2000</v>
      </c>
      <c r="I54" s="1"/>
      <c r="J54" s="1"/>
      <c r="K54" s="1"/>
      <c r="L54" s="1"/>
      <c r="M54" s="1"/>
      <c r="N54" s="1"/>
      <c r="O54" s="1"/>
      <c r="P54" s="1"/>
      <c r="Q54" s="1"/>
      <c r="R54" s="1"/>
      <c r="S54" s="1"/>
      <c r="T54" s="1"/>
      <c r="U54" s="1"/>
      <c r="V54" s="1"/>
      <c r="W54" s="1"/>
      <c r="X54" s="1"/>
      <c r="Y54" s="1"/>
      <c r="Z54" s="12">
        <v>52</v>
      </c>
      <c r="AA54" s="21"/>
      <c r="AB54" s="21"/>
    </row>
    <row r="55" spans="1:28" ht="17.25">
      <c r="A55" s="1"/>
      <c r="B55" s="5"/>
      <c r="C55" s="1"/>
      <c r="D55" s="4"/>
      <c r="E55" s="1"/>
      <c r="F55" s="15"/>
      <c r="H55" s="15"/>
      <c r="I55" s="15"/>
      <c r="J55" s="15"/>
      <c r="K55" s="15"/>
      <c r="L55" s="15"/>
      <c r="M55" s="15"/>
      <c r="N55" s="15"/>
      <c r="O55" s="15"/>
      <c r="P55" s="15"/>
      <c r="Q55" s="15"/>
      <c r="R55" s="15"/>
      <c r="S55" s="15"/>
      <c r="T55" s="15"/>
      <c r="U55" s="15"/>
      <c r="V55" s="15"/>
      <c r="W55" s="15"/>
      <c r="X55" s="15"/>
      <c r="Y55" s="15"/>
      <c r="Z55" s="12">
        <v>53</v>
      </c>
      <c r="AA55" s="21"/>
      <c r="AB55" s="21"/>
    </row>
    <row r="56" spans="1:28" ht="17.25">
      <c r="A56" s="1"/>
      <c r="B56" s="5"/>
      <c r="C56" s="1"/>
      <c r="D56" s="4"/>
      <c r="E56" s="1"/>
      <c r="F56" s="1"/>
      <c r="H56" s="1"/>
      <c r="I56" s="15"/>
      <c r="J56" s="15"/>
      <c r="K56" s="15"/>
      <c r="L56" s="15"/>
      <c r="M56" s="15"/>
      <c r="N56" s="15"/>
      <c r="O56" s="15"/>
      <c r="P56" s="15"/>
      <c r="Q56" s="15"/>
      <c r="R56" s="15"/>
      <c r="S56" s="15"/>
      <c r="T56" s="15"/>
      <c r="U56" s="15"/>
      <c r="V56" s="15"/>
      <c r="W56" s="15"/>
      <c r="X56" s="15"/>
      <c r="Y56" s="15"/>
      <c r="Z56" s="2">
        <v>54</v>
      </c>
    </row>
    <row r="57" spans="1:28" ht="17.25">
      <c r="A57" s="15"/>
      <c r="B57" s="26"/>
      <c r="C57" s="15"/>
      <c r="D57" s="27"/>
      <c r="E57" s="15"/>
      <c r="F57" s="1"/>
      <c r="H57" s="1"/>
      <c r="I57" s="15"/>
      <c r="J57" s="15"/>
      <c r="K57" s="15"/>
      <c r="L57" s="15"/>
      <c r="M57" s="15"/>
      <c r="N57" s="15"/>
      <c r="O57" s="15"/>
      <c r="P57" s="15"/>
      <c r="Q57" s="15"/>
      <c r="R57" s="15"/>
      <c r="S57" s="15"/>
      <c r="T57" s="15"/>
      <c r="U57" s="15"/>
      <c r="V57" s="15"/>
      <c r="W57" s="15"/>
      <c r="X57" s="15"/>
      <c r="Y57" s="15"/>
      <c r="Z57" s="2">
        <v>55</v>
      </c>
    </row>
    <row r="58" spans="1:28" ht="17.25">
      <c r="A58" s="15"/>
      <c r="B58" s="26"/>
      <c r="C58" s="15"/>
      <c r="D58" s="27"/>
      <c r="E58" s="15"/>
      <c r="F58" s="1"/>
      <c r="H58" s="1"/>
      <c r="I58" s="15"/>
      <c r="J58" s="15"/>
      <c r="K58" s="15"/>
      <c r="L58" s="15"/>
      <c r="M58" s="15"/>
      <c r="N58" s="15"/>
      <c r="O58" s="15"/>
      <c r="P58" s="15"/>
      <c r="Q58" s="15"/>
      <c r="R58" s="15"/>
      <c r="S58" s="15"/>
      <c r="T58" s="15"/>
      <c r="U58" s="15"/>
      <c r="V58" s="15"/>
      <c r="W58" s="15"/>
      <c r="X58" s="15"/>
      <c r="Y58" s="15"/>
      <c r="Z58" s="2">
        <v>56</v>
      </c>
    </row>
    <row r="59" spans="1:28" ht="17.25">
      <c r="A59" s="12"/>
      <c r="B59" s="13"/>
      <c r="C59" s="12"/>
      <c r="D59" s="14"/>
      <c r="E59" s="12"/>
      <c r="F59" s="15"/>
      <c r="H59" s="15"/>
      <c r="I59" s="15"/>
      <c r="J59" s="15"/>
      <c r="K59" s="15"/>
      <c r="L59" s="15"/>
      <c r="M59" s="15"/>
      <c r="N59" s="15"/>
      <c r="O59" s="15"/>
      <c r="P59" s="15"/>
      <c r="Q59" s="15"/>
      <c r="R59" s="15"/>
      <c r="S59" s="15"/>
      <c r="T59" s="15"/>
      <c r="U59" s="15"/>
      <c r="V59" s="15"/>
      <c r="W59" s="15"/>
      <c r="X59" s="15"/>
      <c r="Y59" s="15"/>
      <c r="Z59" s="12">
        <v>57</v>
      </c>
      <c r="AA59" s="21"/>
      <c r="AB59" s="21"/>
    </row>
    <row r="60" spans="1:28" ht="17.25">
      <c r="A60" s="12"/>
      <c r="B60" s="13"/>
      <c r="C60" s="12"/>
      <c r="D60" s="14"/>
      <c r="E60" s="12"/>
      <c r="F60" s="15"/>
      <c r="H60" s="15"/>
      <c r="I60" s="15"/>
      <c r="J60" s="15"/>
      <c r="K60" s="15"/>
      <c r="L60" s="15"/>
      <c r="M60" s="15"/>
      <c r="N60" s="15"/>
      <c r="O60" s="15"/>
      <c r="P60" s="15"/>
      <c r="Q60" s="15"/>
      <c r="R60" s="15"/>
      <c r="S60" s="15"/>
      <c r="T60" s="15"/>
      <c r="U60" s="15"/>
      <c r="V60" s="15"/>
      <c r="W60" s="15"/>
      <c r="X60" s="15"/>
      <c r="Y60" s="15"/>
      <c r="Z60" s="12">
        <v>58</v>
      </c>
      <c r="AA60" s="21"/>
      <c r="AB60" s="21"/>
    </row>
    <row r="61" spans="1:28" ht="17.25">
      <c r="A61" s="15"/>
      <c r="B61" s="26"/>
      <c r="C61" s="15"/>
      <c r="D61" s="27"/>
      <c r="E61" s="15"/>
      <c r="F61" s="15"/>
      <c r="H61" s="15"/>
      <c r="I61" s="15"/>
      <c r="J61" s="15"/>
      <c r="K61" s="15"/>
      <c r="L61" s="15"/>
      <c r="M61" s="15"/>
      <c r="N61" s="15"/>
      <c r="O61" s="15"/>
      <c r="P61" s="15"/>
      <c r="Q61" s="15"/>
      <c r="R61" s="15"/>
      <c r="S61" s="15"/>
      <c r="T61" s="15"/>
      <c r="U61" s="15"/>
      <c r="V61" s="15"/>
      <c r="W61" s="15"/>
      <c r="X61" s="15"/>
      <c r="Y61" s="15"/>
      <c r="Z61" s="12">
        <v>59</v>
      </c>
      <c r="AA61" s="21"/>
      <c r="AB61" s="21"/>
    </row>
    <row r="62" spans="1:28" ht="17.25">
      <c r="A62" s="15"/>
      <c r="B62" s="26"/>
      <c r="C62" s="15"/>
      <c r="D62" s="27"/>
      <c r="E62" s="15"/>
      <c r="F62" s="15"/>
      <c r="H62" s="15"/>
      <c r="I62" s="1"/>
      <c r="J62" s="1"/>
      <c r="K62" s="1"/>
      <c r="L62" s="1"/>
      <c r="M62" s="1"/>
      <c r="N62" s="1"/>
      <c r="O62" s="1"/>
      <c r="P62" s="1"/>
      <c r="Q62" s="1"/>
      <c r="R62" s="1"/>
      <c r="S62" s="1"/>
      <c r="T62" s="1"/>
      <c r="U62" s="1"/>
      <c r="V62" s="1"/>
      <c r="W62" s="1"/>
      <c r="X62" s="1"/>
      <c r="Y62" s="1"/>
      <c r="Z62" s="12">
        <v>60</v>
      </c>
      <c r="AA62" s="21"/>
      <c r="AB62" s="21"/>
    </row>
    <row r="63" spans="1:28" ht="17.25">
      <c r="A63" s="15"/>
      <c r="B63" s="26"/>
      <c r="C63" s="15"/>
      <c r="D63" s="27"/>
      <c r="E63" s="15"/>
      <c r="F63" s="15"/>
      <c r="H63" s="15"/>
      <c r="Z63" s="12">
        <v>61</v>
      </c>
      <c r="AA63" s="21"/>
      <c r="AB63" s="21"/>
    </row>
    <row r="64" spans="1:28" ht="17.25">
      <c r="A64" s="1"/>
      <c r="B64" s="5"/>
      <c r="C64" s="1"/>
      <c r="D64" s="4"/>
      <c r="E64" s="1"/>
      <c r="F64" s="15"/>
      <c r="H64" s="15"/>
      <c r="Z64" s="12">
        <v>62</v>
      </c>
      <c r="AA64" s="21"/>
      <c r="AB64" s="21"/>
    </row>
    <row r="65" spans="6:28" ht="17.25">
      <c r="F65" s="15"/>
      <c r="H65" s="15"/>
      <c r="Z65" s="12">
        <v>63</v>
      </c>
      <c r="AA65" s="21"/>
      <c r="AB65" s="21"/>
    </row>
    <row r="66" spans="6:28" ht="17.25">
      <c r="F66" s="1"/>
      <c r="H66" s="1"/>
      <c r="Z66" s="2">
        <v>64</v>
      </c>
    </row>
    <row r="67" spans="6:28" ht="17.25">
      <c r="Z67" s="2">
        <v>65</v>
      </c>
    </row>
    <row r="68" spans="6:28" ht="17.25">
      <c r="Z68" s="2">
        <v>66</v>
      </c>
    </row>
    <row r="69" spans="6:28" ht="17.25">
      <c r="Z69" s="2">
        <v>67</v>
      </c>
    </row>
    <row r="70" spans="6:28" ht="17.25">
      <c r="Z70" s="2">
        <v>68</v>
      </c>
    </row>
    <row r="71" spans="6:28" ht="17.25">
      <c r="Z71" s="2">
        <v>69</v>
      </c>
    </row>
    <row r="72" spans="6:28" ht="17.25">
      <c r="Z72" s="2">
        <v>70</v>
      </c>
    </row>
    <row r="73" spans="6:28" ht="17.25">
      <c r="Z73" s="2">
        <v>71</v>
      </c>
    </row>
    <row r="74" spans="6:28" ht="17.25">
      <c r="Z74" s="2">
        <v>72</v>
      </c>
    </row>
    <row r="75" spans="6:28" ht="17.25">
      <c r="Z75" s="2">
        <v>73</v>
      </c>
    </row>
    <row r="76" spans="6:28" ht="17.25">
      <c r="Z76" s="2">
        <v>74</v>
      </c>
    </row>
    <row r="77" spans="6:28" ht="17.25">
      <c r="Z77" s="2">
        <v>75</v>
      </c>
    </row>
    <row r="78" spans="6:28" ht="17.25">
      <c r="Z78" s="2">
        <v>76</v>
      </c>
    </row>
    <row r="79" spans="6:28" ht="17.25">
      <c r="Z79" s="2">
        <v>77</v>
      </c>
    </row>
    <row r="80" spans="6:28" ht="17.25">
      <c r="Z80" s="2">
        <v>78</v>
      </c>
    </row>
    <row r="81" spans="26:26" ht="17.25">
      <c r="Z81" s="2">
        <v>79</v>
      </c>
    </row>
    <row r="82" spans="26:26" ht="17.25">
      <c r="Z82" s="2">
        <v>80</v>
      </c>
    </row>
    <row r="83" spans="26:26" ht="17.25">
      <c r="Z83" s="2">
        <v>81</v>
      </c>
    </row>
    <row r="84" spans="26:26" ht="17.25">
      <c r="Z84" s="2">
        <v>82</v>
      </c>
    </row>
    <row r="85" spans="26:26" ht="17.25">
      <c r="Z85" s="2">
        <v>83</v>
      </c>
    </row>
    <row r="86" spans="26:26" ht="17.25">
      <c r="Z86" s="2">
        <v>84</v>
      </c>
    </row>
    <row r="87" spans="26:26" ht="17.25">
      <c r="Z87" s="2">
        <v>85</v>
      </c>
    </row>
    <row r="88" spans="26:26" ht="17.25">
      <c r="Z88" s="2">
        <v>86</v>
      </c>
    </row>
    <row r="89" spans="26:26" ht="17.25">
      <c r="Z89" s="2">
        <v>87</v>
      </c>
    </row>
    <row r="90" spans="26:26" ht="17.25">
      <c r="Z90" s="2">
        <v>88</v>
      </c>
    </row>
  </sheetData>
  <sheetProtection password="C517" sheet="1" objects="1" scenarios="1"/>
  <mergeCells count="8">
    <mergeCell ref="A1:E1"/>
    <mergeCell ref="A29:E29"/>
    <mergeCell ref="A31:E31"/>
    <mergeCell ref="A34:E34"/>
    <mergeCell ref="A32:E32"/>
    <mergeCell ref="B22:E22"/>
    <mergeCell ref="A30:E30"/>
    <mergeCell ref="B16:D16"/>
  </mergeCells>
  <phoneticPr fontId="11" type="noConversion"/>
  <dataValidations count="9">
    <dataValidation type="list" allowBlank="1" showInputMessage="1" sqref="D13">
      <formula1>$Z$1:$Z$66</formula1>
    </dataValidation>
    <dataValidation type="list" allowBlank="1" showInputMessage="1" showErrorMessage="1" sqref="D15">
      <formula1>$H$45:$H$53</formula1>
    </dataValidation>
    <dataValidation type="list" allowBlank="1" showInputMessage="1" showErrorMessage="1" sqref="D5">
      <formula1>$H$3:$H$18</formula1>
    </dataValidation>
    <dataValidation type="list" allowBlank="1" showInputMessage="1" showErrorMessage="1" sqref="D7">
      <formula1>$H$20:$H$22</formula1>
    </dataValidation>
    <dataValidation type="list" errorStyle="warning" allowBlank="1" showInputMessage="1" sqref="D11">
      <formula1>$AA$1:$AA$12</formula1>
    </dataValidation>
    <dataValidation type="list" showInputMessage="1" showErrorMessage="1" sqref="D9">
      <formula1>$AB$1:$AB$35</formula1>
    </dataValidation>
    <dataValidation type="whole" allowBlank="1" showInputMessage="1" showErrorMessage="1" sqref="D25">
      <formula1>1</formula1>
      <formula2>88</formula2>
    </dataValidation>
    <dataValidation type="list" allowBlank="1" showInputMessage="1" showErrorMessage="1" sqref="D3">
      <formula1>$H$42:$H$44</formula1>
    </dataValidation>
    <dataValidation type="list" allowBlank="1" showInputMessage="1" sqref="D18">
      <formula1>$AC$1:$AC$17</formula1>
    </dataValidation>
  </dataValidations>
  <printOptions verticalCentered="1"/>
  <pageMargins left="0.70866141732283472" right="0.70866141732283472" top="0.74803149606299213" bottom="0.74803149606299213" header="0.31496062992125984" footer="0.31496062992125984"/>
  <pageSetup paperSize="9" scale="94" orientation="portrait" horizontalDpi="300" verticalDpi="300" r:id="rId1"/>
  <headerFooter>
    <oddHeader>&amp;R&amp;"Arial Black,標準"Sec. 2, Minsheng E.Rd.,
 Taipei City 104, Taiwan
    +886.2.2516.6001</oddHeader>
    <oddFooter>&amp;C&amp;"Arial Black,標準"www.gvdigital.com</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88"/>
  <sheetViews>
    <sheetView zoomScale="110" zoomScaleNormal="110" workbookViewId="0">
      <selection sqref="A1:E1"/>
    </sheetView>
  </sheetViews>
  <sheetFormatPr defaultRowHeight="15.75"/>
  <cols>
    <col min="1" max="1" width="1.875" customWidth="1"/>
    <col min="2" max="2" width="39.375" style="6" customWidth="1"/>
    <col min="3" max="3" width="1.125" customWidth="1"/>
    <col min="4" max="4" width="44.25" style="3" customWidth="1"/>
    <col min="5" max="5" width="5.875" customWidth="1"/>
    <col min="6" max="6" width="0.25" customWidth="1"/>
    <col min="7" max="7" width="9" hidden="1" customWidth="1"/>
    <col min="8" max="8" width="32" hidden="1" customWidth="1"/>
    <col min="9" max="29" width="9" hidden="1" customWidth="1"/>
  </cols>
  <sheetData>
    <row r="1" spans="1:29" ht="26.25" thickBot="1">
      <c r="A1" s="187" t="s">
        <v>140</v>
      </c>
      <c r="B1" s="187"/>
      <c r="C1" s="187"/>
      <c r="D1" s="187"/>
      <c r="E1" s="187"/>
      <c r="F1" s="1"/>
      <c r="G1">
        <f>IF($D$3=$H$42,2.01,IF($D$3=$H$43,1.51,IF($D$3=$H$44,2.01)))</f>
        <v>2.0099999999999998</v>
      </c>
      <c r="H1" s="15"/>
      <c r="I1" s="15"/>
      <c r="J1" s="15"/>
      <c r="K1" s="15"/>
      <c r="L1" s="15"/>
      <c r="M1" s="15"/>
      <c r="N1" s="15"/>
      <c r="O1" s="15"/>
      <c r="P1" s="15"/>
      <c r="Q1" s="15"/>
      <c r="R1" s="15"/>
      <c r="S1" s="15"/>
      <c r="T1" s="15"/>
      <c r="U1" s="15"/>
      <c r="V1" s="15"/>
      <c r="W1" s="15"/>
      <c r="X1" s="15"/>
      <c r="Y1" s="15"/>
      <c r="Z1" s="12">
        <v>1</v>
      </c>
      <c r="AA1" s="12">
        <v>1</v>
      </c>
      <c r="AB1" s="12">
        <v>1</v>
      </c>
      <c r="AC1" s="12">
        <v>0</v>
      </c>
    </row>
    <row r="2" spans="1:29" ht="18" thickTop="1">
      <c r="A2" s="65"/>
      <c r="B2" s="66"/>
      <c r="C2" s="67"/>
      <c r="D2" s="68"/>
      <c r="E2" s="69"/>
      <c r="F2" s="1"/>
      <c r="G2">
        <f>IF($D$3=$H$42,2.51,IF($D$3=$H$43,2.01,IF($D$3=$H$44,3.01)))</f>
        <v>2.5099999999999998</v>
      </c>
      <c r="H2" s="28" t="s">
        <v>0</v>
      </c>
      <c r="I2" s="29" t="s">
        <v>1</v>
      </c>
      <c r="J2" s="30"/>
      <c r="K2" s="30"/>
      <c r="L2" s="30"/>
      <c r="M2" s="30"/>
      <c r="N2" s="30"/>
      <c r="O2" s="30"/>
      <c r="P2" s="30"/>
      <c r="Q2" s="30"/>
      <c r="R2" s="30"/>
      <c r="S2" s="31"/>
      <c r="T2" s="31"/>
      <c r="U2" s="30"/>
      <c r="V2" s="31"/>
      <c r="W2" s="32"/>
      <c r="X2" s="32"/>
      <c r="Y2" s="32"/>
      <c r="Z2" s="12">
        <v>2</v>
      </c>
      <c r="AA2" s="12">
        <v>7</v>
      </c>
      <c r="AB2" s="12">
        <v>2</v>
      </c>
      <c r="AC2" s="12">
        <v>1</v>
      </c>
    </row>
    <row r="3" spans="1:29" ht="17.25">
      <c r="A3" s="70"/>
      <c r="B3" s="71" t="s">
        <v>141</v>
      </c>
      <c r="C3" s="72"/>
      <c r="D3" s="89" t="str">
        <f>'Storage Calculation'!D3</f>
        <v>New Enterprise Models</v>
      </c>
      <c r="E3" s="73"/>
      <c r="F3" s="1"/>
      <c r="G3">
        <f>IF($D$3=$H$42,4.01,IF($D$3=$H$43,3.01,IF($D$3=$H$44,4.01)))</f>
        <v>4.01</v>
      </c>
      <c r="H3" s="16" t="s">
        <v>57</v>
      </c>
      <c r="I3" s="33" t="s">
        <v>3</v>
      </c>
      <c r="J3" s="34" t="s">
        <v>56</v>
      </c>
      <c r="K3" s="34" t="s">
        <v>55</v>
      </c>
      <c r="L3" s="34" t="s">
        <v>54</v>
      </c>
      <c r="M3" s="34" t="s">
        <v>45</v>
      </c>
      <c r="N3" s="34" t="s">
        <v>52</v>
      </c>
      <c r="O3" s="34" t="s">
        <v>119</v>
      </c>
      <c r="P3" s="34" t="s">
        <v>113</v>
      </c>
      <c r="Q3" s="34" t="s">
        <v>47</v>
      </c>
      <c r="R3" s="34" t="s">
        <v>4</v>
      </c>
      <c r="S3" s="34" t="s">
        <v>151</v>
      </c>
      <c r="T3" s="34" t="s">
        <v>5</v>
      </c>
      <c r="U3" s="34" t="s">
        <v>6</v>
      </c>
      <c r="V3" s="34" t="s">
        <v>8</v>
      </c>
      <c r="W3" s="35" t="s">
        <v>9</v>
      </c>
      <c r="X3" s="35" t="s">
        <v>152</v>
      </c>
      <c r="Y3" s="35" t="s">
        <v>154</v>
      </c>
      <c r="Z3" s="12">
        <v>3</v>
      </c>
      <c r="AA3" s="12">
        <v>15</v>
      </c>
      <c r="AB3" s="12">
        <v>3</v>
      </c>
      <c r="AC3" s="12">
        <v>1.5</v>
      </c>
    </row>
    <row r="4" spans="1:29" ht="17.25">
      <c r="A4" s="70"/>
      <c r="B4" s="74"/>
      <c r="C4" s="72"/>
      <c r="D4" s="75"/>
      <c r="E4" s="73"/>
      <c r="F4" s="1"/>
      <c r="G4">
        <f>IF($D$3=$H$42,5.01,IF($D$3=$H$43,4.01,IF($D$3=$H$44,6.01)))</f>
        <v>5.01</v>
      </c>
      <c r="H4" s="16" t="s">
        <v>58</v>
      </c>
      <c r="I4" s="17" t="s">
        <v>11</v>
      </c>
      <c r="J4" s="37"/>
      <c r="K4" s="37"/>
      <c r="L4" s="37"/>
      <c r="M4" s="37">
        <v>128</v>
      </c>
      <c r="N4" s="37"/>
      <c r="O4" s="37"/>
      <c r="P4" s="37"/>
      <c r="Q4" s="37">
        <v>100</v>
      </c>
      <c r="R4" s="37">
        <v>128</v>
      </c>
      <c r="S4" s="37"/>
      <c r="T4" s="38"/>
      <c r="U4" s="37">
        <v>202</v>
      </c>
      <c r="V4" s="39">
        <v>299</v>
      </c>
      <c r="W4" s="40">
        <v>512</v>
      </c>
      <c r="X4" s="40"/>
      <c r="Y4" s="40"/>
      <c r="Z4" s="12">
        <v>4</v>
      </c>
      <c r="AA4" s="12">
        <v>30</v>
      </c>
      <c r="AB4" s="12">
        <v>4</v>
      </c>
      <c r="AC4" s="12">
        <v>2</v>
      </c>
    </row>
    <row r="5" spans="1:29" ht="17.25">
      <c r="A5" s="70"/>
      <c r="B5" s="71" t="s">
        <v>110</v>
      </c>
      <c r="C5" s="72"/>
      <c r="D5" s="89" t="str">
        <f>'Storage Calculation'!D5</f>
        <v>VGA (640x480)</v>
      </c>
      <c r="E5" s="73"/>
      <c r="F5" s="1"/>
      <c r="G5">
        <f>IF($D$3=$H$42,8.01,IF($D$3=$H$43,12.01,IF($D$3=$H$44,12.01)))</f>
        <v>8.01</v>
      </c>
      <c r="H5" s="16" t="s">
        <v>59</v>
      </c>
      <c r="I5" s="17" t="s">
        <v>13</v>
      </c>
      <c r="J5" s="18">
        <v>17</v>
      </c>
      <c r="K5" s="18">
        <v>22</v>
      </c>
      <c r="L5" s="18">
        <v>43</v>
      </c>
      <c r="M5" s="18">
        <v>41</v>
      </c>
      <c r="N5" s="18">
        <v>44</v>
      </c>
      <c r="O5" s="18">
        <v>64</v>
      </c>
      <c r="P5" s="18">
        <v>118</v>
      </c>
      <c r="Q5" s="18">
        <v>139</v>
      </c>
      <c r="R5" s="18">
        <v>176</v>
      </c>
      <c r="S5" s="18">
        <v>182</v>
      </c>
      <c r="T5" s="19">
        <v>215</v>
      </c>
      <c r="U5" s="18">
        <v>278</v>
      </c>
      <c r="V5" s="41">
        <v>411</v>
      </c>
      <c r="W5" s="42">
        <v>704</v>
      </c>
      <c r="X5" s="42">
        <v>1070</v>
      </c>
      <c r="Y5" s="42">
        <v>1644</v>
      </c>
      <c r="Z5" s="12">
        <v>5</v>
      </c>
      <c r="AA5" s="12">
        <v>45</v>
      </c>
      <c r="AB5" s="12">
        <v>5</v>
      </c>
      <c r="AC5" s="12">
        <v>2.5</v>
      </c>
    </row>
    <row r="6" spans="1:29" ht="17.25">
      <c r="A6" s="70"/>
      <c r="B6" s="74"/>
      <c r="C6" s="72"/>
      <c r="D6" s="177"/>
      <c r="E6" s="73"/>
      <c r="F6" s="1"/>
      <c r="G6">
        <f>IF($D$3=$H$42,12.01,IF($D$3=$H$43,24.01,IF($D$3=$H$44,24.01)))</f>
        <v>12.01</v>
      </c>
      <c r="H6" s="16" t="s">
        <v>60</v>
      </c>
      <c r="I6" s="43" t="s">
        <v>14</v>
      </c>
      <c r="J6" s="44"/>
      <c r="K6" s="44"/>
      <c r="L6" s="44"/>
      <c r="M6" s="44">
        <v>293</v>
      </c>
      <c r="N6" s="44"/>
      <c r="O6" s="44"/>
      <c r="P6" s="44"/>
      <c r="Q6" s="44">
        <v>227</v>
      </c>
      <c r="R6" s="44">
        <v>293</v>
      </c>
      <c r="S6" s="44"/>
      <c r="T6" s="45"/>
      <c r="U6" s="44">
        <v>463</v>
      </c>
      <c r="V6" s="46">
        <v>685</v>
      </c>
      <c r="W6" s="47">
        <v>1172</v>
      </c>
      <c r="X6" s="47"/>
      <c r="Y6" s="47"/>
      <c r="Z6" s="12">
        <v>6</v>
      </c>
      <c r="AA6" s="12">
        <v>60</v>
      </c>
      <c r="AB6" s="12">
        <v>5.5</v>
      </c>
      <c r="AC6" s="12">
        <v>3</v>
      </c>
    </row>
    <row r="7" spans="1:29" ht="17.25">
      <c r="A7" s="70"/>
      <c r="B7" s="71" t="s">
        <v>12</v>
      </c>
      <c r="C7" s="72"/>
      <c r="D7" s="89" t="str">
        <f>'Storage Calculation'!D7</f>
        <v>H.264</v>
      </c>
      <c r="E7" s="73"/>
      <c r="F7" s="1"/>
      <c r="G7">
        <f>IF($D$3=$H$42,18.01,IF($D$3=$H$43,24.01,IF($D$3=$H$44,24.01)))</f>
        <v>18.010000000000002</v>
      </c>
      <c r="H7" s="16" t="s">
        <v>53</v>
      </c>
      <c r="I7" s="48"/>
      <c r="J7" s="49"/>
      <c r="K7" s="49"/>
      <c r="L7" s="49"/>
      <c r="M7" s="49"/>
      <c r="N7" s="49"/>
      <c r="O7" s="49"/>
      <c r="P7" s="49"/>
      <c r="Q7" s="49"/>
      <c r="R7" s="49"/>
      <c r="S7" s="49"/>
      <c r="T7" s="48"/>
      <c r="U7" s="49"/>
      <c r="V7" s="50"/>
      <c r="W7" s="51"/>
      <c r="X7" s="51"/>
      <c r="Y7" s="51"/>
      <c r="Z7" s="12">
        <v>7</v>
      </c>
      <c r="AA7" s="12">
        <v>90</v>
      </c>
      <c r="AB7" s="12">
        <v>6</v>
      </c>
      <c r="AC7" s="12">
        <v>4</v>
      </c>
    </row>
    <row r="8" spans="1:29" ht="17.25">
      <c r="A8" s="70"/>
      <c r="B8" s="74"/>
      <c r="C8" s="72"/>
      <c r="D8" s="76"/>
      <c r="E8" s="73"/>
      <c r="F8" s="1"/>
      <c r="G8">
        <f>IF($D$3=$H$42,25.01,IF($D$3=$H$43,24.01,IF($D$3=$H$44,24.01)))</f>
        <v>25.01</v>
      </c>
      <c r="H8" s="16" t="s">
        <v>120</v>
      </c>
      <c r="I8" s="33" t="s">
        <v>16</v>
      </c>
      <c r="J8" s="34" t="s">
        <v>56</v>
      </c>
      <c r="K8" s="34" t="s">
        <v>55</v>
      </c>
      <c r="L8" s="34" t="s">
        <v>54</v>
      </c>
      <c r="M8" s="34" t="s">
        <v>45</v>
      </c>
      <c r="N8" s="34" t="s">
        <v>52</v>
      </c>
      <c r="O8" s="34" t="s">
        <v>119</v>
      </c>
      <c r="P8" s="34" t="s">
        <v>113</v>
      </c>
      <c r="Q8" s="34" t="s">
        <v>47</v>
      </c>
      <c r="R8" s="34" t="s">
        <v>4</v>
      </c>
      <c r="S8" s="34" t="s">
        <v>151</v>
      </c>
      <c r="T8" s="34" t="s">
        <v>5</v>
      </c>
      <c r="U8" s="34" t="s">
        <v>6</v>
      </c>
      <c r="V8" s="34" t="s">
        <v>8</v>
      </c>
      <c r="W8" s="52" t="s">
        <v>17</v>
      </c>
      <c r="X8" s="52" t="s">
        <v>153</v>
      </c>
      <c r="Y8" s="52" t="s">
        <v>156</v>
      </c>
      <c r="Z8" s="12">
        <v>8</v>
      </c>
      <c r="AA8" s="94">
        <v>120</v>
      </c>
      <c r="AB8" s="12">
        <v>7</v>
      </c>
      <c r="AC8" s="12">
        <v>3</v>
      </c>
    </row>
    <row r="9" spans="1:29" ht="17.25">
      <c r="A9" s="70"/>
      <c r="B9" s="71" t="s">
        <v>15</v>
      </c>
      <c r="C9" s="72"/>
      <c r="D9" s="89">
        <f>'Storage Calculation'!D9</f>
        <v>5</v>
      </c>
      <c r="E9" s="73"/>
      <c r="F9" s="1"/>
      <c r="H9" s="16" t="s">
        <v>112</v>
      </c>
      <c r="I9" s="17" t="s">
        <v>11</v>
      </c>
      <c r="J9" s="37"/>
      <c r="K9" s="37"/>
      <c r="L9" s="37"/>
      <c r="M9" s="37">
        <v>112.5</v>
      </c>
      <c r="N9" s="37"/>
      <c r="O9" s="37"/>
      <c r="P9" s="37"/>
      <c r="Q9" s="37">
        <v>84.5</v>
      </c>
      <c r="R9" s="37">
        <v>112.5</v>
      </c>
      <c r="S9" s="37"/>
      <c r="T9" s="38"/>
      <c r="U9" s="37">
        <v>175</v>
      </c>
      <c r="V9" s="39">
        <v>259.02</v>
      </c>
      <c r="W9" s="40">
        <v>450</v>
      </c>
      <c r="X9" s="40"/>
      <c r="Y9" s="40"/>
      <c r="Z9" s="12">
        <v>9</v>
      </c>
      <c r="AA9" s="94">
        <v>150</v>
      </c>
      <c r="AB9" s="12">
        <v>8</v>
      </c>
      <c r="AC9" s="12">
        <v>4</v>
      </c>
    </row>
    <row r="10" spans="1:29" ht="17.25">
      <c r="A10" s="70"/>
      <c r="B10" s="74"/>
      <c r="C10" s="72"/>
      <c r="D10" s="77" t="str">
        <f>IF(OR(D5=H3,D5=H4,D5=H5,D5=H6,D5=H7,D5=H8,D5=H9,D5=H10,D5=H12),"max frame rate for camera = 30fps",IF(D5=H11,"max frame rate for 2MP(1600X1200) = 24fps",IF(OR(D5=H13,D5=H14),"The max frame rate for 3MP Camera= 15fps",IF(D5=H15,"The max frame rate for 5MP Camera = 9fps",IF(D5=H16,"The max frame rate for 8MP Camera = 5.5fps",IF(D5=H17,"The max frame rate for 10MP Camera = 6fps"," "))))))</f>
        <v>max frame rate for camera = 30fps</v>
      </c>
      <c r="E10" s="73"/>
      <c r="F10" s="1"/>
      <c r="H10" s="16" t="s">
        <v>41</v>
      </c>
      <c r="I10" s="17" t="s">
        <v>13</v>
      </c>
      <c r="J10" s="18"/>
      <c r="K10" s="18"/>
      <c r="L10" s="18"/>
      <c r="M10" s="18">
        <v>242</v>
      </c>
      <c r="N10" s="18"/>
      <c r="O10" s="18"/>
      <c r="P10" s="18"/>
      <c r="Q10" s="18">
        <v>118</v>
      </c>
      <c r="R10" s="18">
        <v>155</v>
      </c>
      <c r="S10" s="18">
        <v>241.5</v>
      </c>
      <c r="T10" s="19">
        <v>242</v>
      </c>
      <c r="U10" s="18">
        <v>241.5</v>
      </c>
      <c r="V10" s="41">
        <v>357.2</v>
      </c>
      <c r="W10" s="42">
        <v>620</v>
      </c>
      <c r="X10" s="42"/>
      <c r="Y10" s="42"/>
      <c r="Z10" s="12">
        <v>10</v>
      </c>
      <c r="AA10" s="94">
        <v>180</v>
      </c>
      <c r="AB10" s="12">
        <v>9</v>
      </c>
      <c r="AC10" s="12">
        <v>5</v>
      </c>
    </row>
    <row r="11" spans="1:29" ht="17.25">
      <c r="A11" s="70"/>
      <c r="B11" s="71" t="s">
        <v>49</v>
      </c>
      <c r="C11" s="72"/>
      <c r="D11" s="123">
        <f>'Storage Calculation'!D25</f>
        <v>18</v>
      </c>
      <c r="E11" s="73"/>
      <c r="F11" s="1"/>
      <c r="G11">
        <f>IF($D$3=$H$42,32,IF($D$3=$H$43,8,IF($D$3=$H$44,8)))</f>
        <v>32</v>
      </c>
      <c r="H11" s="16" t="s">
        <v>10</v>
      </c>
      <c r="I11" s="43" t="s">
        <v>14</v>
      </c>
      <c r="J11" s="44"/>
      <c r="K11" s="44"/>
      <c r="L11" s="44"/>
      <c r="M11" s="44">
        <v>263</v>
      </c>
      <c r="N11" s="44"/>
      <c r="O11" s="44"/>
      <c r="P11" s="44"/>
      <c r="Q11" s="44">
        <v>196</v>
      </c>
      <c r="R11" s="44">
        <v>263</v>
      </c>
      <c r="S11" s="44"/>
      <c r="T11" s="45"/>
      <c r="U11" s="44">
        <v>416</v>
      </c>
      <c r="V11" s="46">
        <v>615.55999999999995</v>
      </c>
      <c r="W11" s="47">
        <v>1052</v>
      </c>
      <c r="X11" s="47"/>
      <c r="Y11" s="47"/>
      <c r="Z11" s="12">
        <v>11</v>
      </c>
      <c r="AA11" s="94">
        <v>210</v>
      </c>
      <c r="AB11" s="12">
        <v>10</v>
      </c>
      <c r="AC11" s="12">
        <v>6</v>
      </c>
    </row>
    <row r="12" spans="1:29" ht="17.25">
      <c r="A12" s="70"/>
      <c r="B12" s="74"/>
      <c r="C12" s="72"/>
      <c r="D12" s="125" t="str">
        <f>IF(D11&gt;5,IF($D$3=$H$45,"Total Required HDDs Exceed Standalone NVR series Limitation!!",IF($D$3=$H$44,IF(D11&gt;88,"Total Required HDDs Exceed Limitation!!",""),"")),"")</f>
        <v/>
      </c>
      <c r="E12" s="73"/>
      <c r="F12" s="1"/>
      <c r="G12">
        <f>IF($D$3=$H$42,24,IF($D$3=$H$43,7,IF($D$3=$H$44,7)))</f>
        <v>24</v>
      </c>
      <c r="H12" s="16" t="s">
        <v>149</v>
      </c>
      <c r="I12" s="48"/>
      <c r="J12" s="49"/>
      <c r="K12" s="49"/>
      <c r="L12" s="49"/>
      <c r="M12" s="49"/>
      <c r="N12" s="49"/>
      <c r="O12" s="49"/>
      <c r="P12" s="49"/>
      <c r="Q12" s="49"/>
      <c r="R12" s="49"/>
      <c r="S12" s="49"/>
      <c r="T12" s="48"/>
      <c r="U12" s="49"/>
      <c r="V12" s="50"/>
      <c r="W12" s="51"/>
      <c r="X12" s="51"/>
      <c r="Y12" s="51"/>
      <c r="Z12" s="12">
        <v>12</v>
      </c>
      <c r="AA12" s="94">
        <v>270</v>
      </c>
      <c r="AB12" s="12">
        <v>11</v>
      </c>
      <c r="AC12" s="12">
        <v>7</v>
      </c>
    </row>
    <row r="13" spans="1:29" ht="17.25">
      <c r="A13" s="70"/>
      <c r="B13" s="71" t="s">
        <v>21</v>
      </c>
      <c r="C13" s="72"/>
      <c r="D13" s="91">
        <f>'Storage Calculation'!D13</f>
        <v>40</v>
      </c>
      <c r="E13" s="73"/>
      <c r="F13" s="1"/>
      <c r="G13">
        <f>IF($D$3=$H$42,16,IF($D$3=$H$43,6,IF($D$3=$H$44,6)))</f>
        <v>16</v>
      </c>
      <c r="H13" s="16" t="s">
        <v>150</v>
      </c>
      <c r="I13" s="33" t="s">
        <v>22</v>
      </c>
      <c r="J13" s="34" t="s">
        <v>56</v>
      </c>
      <c r="K13" s="34" t="s">
        <v>55</v>
      </c>
      <c r="L13" s="34" t="s">
        <v>54</v>
      </c>
      <c r="M13" s="34" t="s">
        <v>45</v>
      </c>
      <c r="N13" s="34" t="s">
        <v>52</v>
      </c>
      <c r="O13" s="34" t="s">
        <v>119</v>
      </c>
      <c r="P13" s="34" t="s">
        <v>113</v>
      </c>
      <c r="Q13" s="34" t="s">
        <v>47</v>
      </c>
      <c r="R13" s="34" t="s">
        <v>4</v>
      </c>
      <c r="S13" s="34" t="s">
        <v>151</v>
      </c>
      <c r="T13" s="34" t="s">
        <v>5</v>
      </c>
      <c r="U13" s="34" t="s">
        <v>6</v>
      </c>
      <c r="V13" s="34" t="s">
        <v>8</v>
      </c>
      <c r="W13" s="52" t="s">
        <v>17</v>
      </c>
      <c r="X13" s="52" t="s">
        <v>153</v>
      </c>
      <c r="Y13" s="52" t="s">
        <v>156</v>
      </c>
      <c r="Z13" s="12">
        <v>13</v>
      </c>
      <c r="AA13" s="94">
        <v>300</v>
      </c>
      <c r="AB13" s="12">
        <v>12</v>
      </c>
      <c r="AC13" s="12">
        <v>8</v>
      </c>
    </row>
    <row r="14" spans="1:29" ht="17.25">
      <c r="A14" s="70"/>
      <c r="B14" s="74"/>
      <c r="C14" s="72"/>
      <c r="D14" s="75"/>
      <c r="E14" s="73"/>
      <c r="F14" s="1"/>
      <c r="G14">
        <f>IF($D$3=$H$42,12,IF($D$3=$H$43,3,IF($D$3=$H$44,3)))</f>
        <v>12</v>
      </c>
      <c r="H14" s="16" t="s">
        <v>148</v>
      </c>
      <c r="I14" s="17" t="s">
        <v>11</v>
      </c>
      <c r="J14" s="37"/>
      <c r="K14" s="37"/>
      <c r="L14" s="37"/>
      <c r="M14" s="37">
        <v>97</v>
      </c>
      <c r="N14" s="37"/>
      <c r="O14" s="37"/>
      <c r="P14" s="37"/>
      <c r="Q14" s="37">
        <v>69</v>
      </c>
      <c r="R14" s="37">
        <v>97</v>
      </c>
      <c r="S14" s="37"/>
      <c r="T14" s="38"/>
      <c r="U14" s="37">
        <v>148</v>
      </c>
      <c r="V14" s="39">
        <v>219.04</v>
      </c>
      <c r="W14" s="40">
        <v>388</v>
      </c>
      <c r="X14" s="40"/>
      <c r="Y14" s="40"/>
      <c r="Z14" s="12">
        <v>14</v>
      </c>
      <c r="AA14" s="94">
        <v>330</v>
      </c>
      <c r="AB14" s="12">
        <v>13</v>
      </c>
      <c r="AC14" s="12">
        <v>9</v>
      </c>
    </row>
    <row r="15" spans="1:29" ht="17.25">
      <c r="A15" s="70"/>
      <c r="B15" s="71" t="s">
        <v>111</v>
      </c>
      <c r="C15" s="72"/>
      <c r="D15" s="92" t="str">
        <f>'Storage Calculation'!D15</f>
        <v>(Seagate 2TB) ST32000644NS</v>
      </c>
      <c r="E15" s="73"/>
      <c r="F15" s="1"/>
      <c r="G15">
        <f>IF($D$3=$H$42,8,IF($D$3=$H$43,2,IF($D$3=$H$44,2)))</f>
        <v>8</v>
      </c>
      <c r="H15" s="16" t="s">
        <v>19</v>
      </c>
      <c r="I15" s="17" t="s">
        <v>13</v>
      </c>
      <c r="J15" s="18"/>
      <c r="K15" s="18"/>
      <c r="L15" s="18"/>
      <c r="M15" s="18">
        <v>205</v>
      </c>
      <c r="N15" s="18"/>
      <c r="O15" s="18"/>
      <c r="P15" s="18"/>
      <c r="Q15" s="18">
        <v>97</v>
      </c>
      <c r="R15" s="18">
        <v>134</v>
      </c>
      <c r="S15" s="18">
        <v>205</v>
      </c>
      <c r="T15" s="19">
        <v>205</v>
      </c>
      <c r="U15" s="18">
        <v>205</v>
      </c>
      <c r="V15" s="41">
        <v>303.39999999999998</v>
      </c>
      <c r="W15" s="42">
        <v>536</v>
      </c>
      <c r="X15" s="42"/>
      <c r="Y15" s="42"/>
      <c r="Z15" s="12">
        <v>15</v>
      </c>
      <c r="AA15" s="94">
        <v>365</v>
      </c>
      <c r="AB15" s="12">
        <v>14</v>
      </c>
      <c r="AC15" s="12">
        <v>10</v>
      </c>
    </row>
    <row r="16" spans="1:29" ht="17.25">
      <c r="A16" s="70"/>
      <c r="B16" s="74"/>
      <c r="C16" s="72"/>
      <c r="D16" s="75"/>
      <c r="E16" s="73"/>
      <c r="F16" s="1"/>
      <c r="G16">
        <f>IF($D$3=$H$42,6,IF($D$3=$H$43,1,IF($D$3=$H$44,8)))</f>
        <v>6</v>
      </c>
      <c r="H16" s="16" t="s">
        <v>2</v>
      </c>
      <c r="I16" s="43" t="s">
        <v>14</v>
      </c>
      <c r="J16" s="44"/>
      <c r="K16" s="44"/>
      <c r="L16" s="44"/>
      <c r="M16" s="44">
        <v>233</v>
      </c>
      <c r="N16" s="44"/>
      <c r="O16" s="44"/>
      <c r="P16" s="44"/>
      <c r="Q16" s="44">
        <v>165</v>
      </c>
      <c r="R16" s="44">
        <v>233</v>
      </c>
      <c r="S16" s="44"/>
      <c r="T16" s="45"/>
      <c r="U16" s="44">
        <v>369</v>
      </c>
      <c r="V16" s="46">
        <v>546.12</v>
      </c>
      <c r="W16" s="47">
        <v>932</v>
      </c>
      <c r="X16" s="47"/>
      <c r="Y16" s="47"/>
      <c r="Z16" s="12">
        <v>16</v>
      </c>
      <c r="AA16" s="15"/>
      <c r="AB16" s="12">
        <v>15</v>
      </c>
      <c r="AC16" s="12">
        <v>11</v>
      </c>
    </row>
    <row r="17" spans="1:29" ht="17.25">
      <c r="A17" s="70"/>
      <c r="B17" s="71" t="s">
        <v>26</v>
      </c>
      <c r="C17" s="72"/>
      <c r="D17" s="11">
        <f>(D19*86400*D23/1000/8)*1.1</f>
        <v>899.99999999999989</v>
      </c>
      <c r="E17" s="73"/>
      <c r="F17" s="1"/>
      <c r="G17">
        <f>IF($D$3=$H$42,4,IF($D$3=$H$43,1,IF($D$3=$H$44,1)))</f>
        <v>4</v>
      </c>
      <c r="H17" s="16" t="s">
        <v>147</v>
      </c>
      <c r="I17" s="48"/>
      <c r="J17" s="49"/>
      <c r="K17" s="49"/>
      <c r="L17" s="49"/>
      <c r="M17" s="49"/>
      <c r="N17" s="49"/>
      <c r="O17" s="49"/>
      <c r="P17" s="49"/>
      <c r="Q17" s="49"/>
      <c r="R17" s="49"/>
      <c r="S17" s="48"/>
      <c r="T17" s="48"/>
      <c r="U17" s="49"/>
      <c r="V17" s="48"/>
      <c r="W17" s="36"/>
      <c r="X17" s="36"/>
      <c r="Y17" s="36"/>
      <c r="Z17" s="12">
        <v>17</v>
      </c>
      <c r="AA17" s="21"/>
      <c r="AB17" s="12">
        <v>16</v>
      </c>
      <c r="AC17" s="12">
        <v>12</v>
      </c>
    </row>
    <row r="18" spans="1:29" ht="17.25">
      <c r="A18" s="70"/>
      <c r="B18" s="181" t="s">
        <v>167</v>
      </c>
      <c r="C18" s="72"/>
      <c r="D18" s="183">
        <f>'Storage Calculation'!D18</f>
        <v>0</v>
      </c>
      <c r="E18" s="73"/>
      <c r="F18" s="1"/>
      <c r="G18">
        <f>IF($D$3=$H$42,2,IF($D$3=$H$43,1,IF($D$3=$H$44,1)))</f>
        <v>2</v>
      </c>
      <c r="H18" s="16" t="s">
        <v>155</v>
      </c>
      <c r="I18" s="56" t="s">
        <v>29</v>
      </c>
      <c r="J18" s="54"/>
      <c r="K18" s="54"/>
      <c r="L18" s="54"/>
      <c r="M18" s="54"/>
      <c r="N18" s="54"/>
      <c r="O18" s="54"/>
      <c r="P18" s="54"/>
      <c r="Q18" s="54"/>
      <c r="R18" s="54"/>
      <c r="S18" s="48"/>
      <c r="T18" s="48"/>
      <c r="U18" s="54"/>
      <c r="V18" s="48"/>
      <c r="W18" s="36"/>
      <c r="X18" s="36"/>
      <c r="Y18" s="36"/>
      <c r="Z18" s="12">
        <v>18</v>
      </c>
      <c r="AA18" s="21"/>
      <c r="AB18" s="12">
        <v>17</v>
      </c>
    </row>
    <row r="19" spans="1:29" ht="17.25">
      <c r="A19" s="70"/>
      <c r="B19" s="71" t="s">
        <v>166</v>
      </c>
      <c r="C19" s="72"/>
      <c r="D19" s="7">
        <f>IF(D18&lt;&gt;0,D18,IF(D7=H19,SUM(J21:Y23)*D9*8/1000,IF(D7=H20,((SUM(J21:Y23)*(D9*2-1)*8/1000/5+SUM(J21:Y23)*8/1000)/2)*5/6,IF(D7=H21,(SUM(J21:Y23)*(D9*2-1)*8/1000/5+SUM(J21:Y23)*8/1000)/2,"error"))))</f>
        <v>0.38266666666666671</v>
      </c>
      <c r="E19" s="73"/>
      <c r="F19" s="1"/>
      <c r="H19" s="16" t="s">
        <v>44</v>
      </c>
      <c r="I19" s="56"/>
      <c r="J19" s="54"/>
      <c r="K19" s="54"/>
      <c r="L19" s="54"/>
      <c r="M19" s="54"/>
      <c r="N19" s="54"/>
      <c r="O19" s="54"/>
      <c r="P19" s="54"/>
      <c r="Q19" s="54"/>
      <c r="R19" s="54"/>
      <c r="S19" s="48"/>
      <c r="T19" s="48"/>
      <c r="U19" s="54"/>
      <c r="V19" s="48"/>
      <c r="W19" s="36"/>
      <c r="X19" s="36"/>
      <c r="Y19" s="36"/>
      <c r="Z19" s="12">
        <v>19</v>
      </c>
      <c r="AA19" s="21"/>
      <c r="AB19" s="12">
        <v>18</v>
      </c>
    </row>
    <row r="20" spans="1:29" ht="17.25">
      <c r="A20" s="70"/>
      <c r="B20" s="74"/>
      <c r="C20" s="72"/>
      <c r="D20" s="78"/>
      <c r="E20" s="73"/>
      <c r="F20" s="1"/>
      <c r="H20" s="16" t="s">
        <v>43</v>
      </c>
      <c r="I20" s="33" t="s">
        <v>3</v>
      </c>
      <c r="J20" s="34" t="s">
        <v>56</v>
      </c>
      <c r="K20" s="34" t="s">
        <v>55</v>
      </c>
      <c r="L20" s="34" t="s">
        <v>54</v>
      </c>
      <c r="M20" s="34" t="s">
        <v>45</v>
      </c>
      <c r="N20" s="34" t="s">
        <v>52</v>
      </c>
      <c r="O20" s="34" t="s">
        <v>119</v>
      </c>
      <c r="P20" s="34" t="s">
        <v>113</v>
      </c>
      <c r="Q20" s="34" t="s">
        <v>47</v>
      </c>
      <c r="R20" s="34" t="s">
        <v>4</v>
      </c>
      <c r="S20" s="34" t="s">
        <v>151</v>
      </c>
      <c r="T20" s="34" t="s">
        <v>5</v>
      </c>
      <c r="U20" s="34" t="s">
        <v>6</v>
      </c>
      <c r="V20" s="34" t="s">
        <v>8</v>
      </c>
      <c r="W20" s="35" t="s">
        <v>9</v>
      </c>
      <c r="X20" s="35" t="s">
        <v>152</v>
      </c>
      <c r="Y20" s="35" t="s">
        <v>154</v>
      </c>
      <c r="Z20" s="12">
        <v>20</v>
      </c>
      <c r="AA20" s="21"/>
      <c r="AB20" s="12">
        <v>19</v>
      </c>
    </row>
    <row r="21" spans="1:29" ht="17.25">
      <c r="A21" s="70"/>
      <c r="B21" s="71" t="s">
        <v>30</v>
      </c>
      <c r="C21" s="72"/>
      <c r="D21" s="8">
        <f>IF(D19&lt;G1,ROUNDUP(D13/G11,0),IF(D19&lt;G2,ROUNDUP(D13/G12,0),IF(D19&lt;G3,ROUNDUP(D13/G13,0),IF(D19&lt;G4,ROUNDUP(D13/G14,0),IF(D19&lt;G5,ROUNDUP(D13/G15,0),IF(D19&lt;G6,ROUNDUP(D13/G16,0),IF(D19&lt;G7,ROUNDUP(D13/G17,0),IF(D19&lt;G8,ROUNDUP(D13/G18,0)," "))))))))</f>
        <v>2</v>
      </c>
      <c r="E21" s="73"/>
      <c r="F21" s="1"/>
      <c r="H21" s="16" t="s">
        <v>42</v>
      </c>
      <c r="I21" s="17" t="s">
        <v>11</v>
      </c>
      <c r="J21" s="18"/>
      <c r="K21" s="18"/>
      <c r="L21" s="18"/>
      <c r="M21" s="18"/>
      <c r="N21" s="18"/>
      <c r="O21" s="18"/>
      <c r="P21" s="18"/>
      <c r="Q21" s="18"/>
      <c r="R21" s="18"/>
      <c r="S21" s="18"/>
      <c r="T21" s="18"/>
      <c r="U21" s="18"/>
      <c r="V21" s="18"/>
      <c r="W21" s="57"/>
      <c r="X21" s="57"/>
      <c r="Y21" s="57"/>
      <c r="Z21" s="12">
        <v>21</v>
      </c>
      <c r="AA21" s="21"/>
      <c r="AB21" s="12">
        <v>20</v>
      </c>
    </row>
    <row r="22" spans="1:29" ht="17.25">
      <c r="A22" s="70"/>
      <c r="B22" s="198" t="str">
        <f>IF(D21&gt;5,IF($D$3=$H$45,"Standalone NVR cannot has more than 5 Storage Volumes, Please reduce total camera quantity!!",IF($D$3=$H$44,IF(D21&gt;16,"Enterprise NVR cannot has more than 16 Storage Volumes, Please reduce total camera quantity!!",""),"")),"")</f>
        <v/>
      </c>
      <c r="C22" s="198"/>
      <c r="D22" s="198"/>
      <c r="E22" s="199"/>
      <c r="F22" s="1"/>
      <c r="H22" s="59" t="s">
        <v>28</v>
      </c>
      <c r="I22" s="17" t="s">
        <v>13</v>
      </c>
      <c r="J22" s="18">
        <f>IF($D$5=$H$3,J5,0)</f>
        <v>0</v>
      </c>
      <c r="K22" s="18">
        <f>IF($D$5=$H$4,K5,0)</f>
        <v>0</v>
      </c>
      <c r="L22" s="18">
        <f>IF($D$5=$H$5,L5,0)</f>
        <v>0</v>
      </c>
      <c r="M22" s="18">
        <f>IF($D$5=$H$6,M5,0)</f>
        <v>41</v>
      </c>
      <c r="N22" s="18">
        <f>IF($D$5=$H$7,N5,0)</f>
        <v>0</v>
      </c>
      <c r="O22" s="18">
        <f>IF($D$5=$H$8,O5,0)</f>
        <v>0</v>
      </c>
      <c r="P22" s="18">
        <f>IF($D$5=$H$9,P5,0)</f>
        <v>0</v>
      </c>
      <c r="Q22" s="18">
        <f>IF($D$5=$H$10,Q5,0)</f>
        <v>0</v>
      </c>
      <c r="R22" s="18">
        <f>IF($D$5=$H$11,R5,0)</f>
        <v>0</v>
      </c>
      <c r="S22" s="18">
        <f>IF($D$5=$H$12,S5,0)</f>
        <v>0</v>
      </c>
      <c r="T22" s="18">
        <f>IF($D$5=$H$13,T5,0)</f>
        <v>0</v>
      </c>
      <c r="U22" s="18">
        <f>IF($D$5=$H$14,U5,0)</f>
        <v>0</v>
      </c>
      <c r="V22" s="18">
        <f>IF($D$5=$H$15,V5,0)</f>
        <v>0</v>
      </c>
      <c r="W22" s="57">
        <f>IF($D$5=$H$16,W5,0)</f>
        <v>0</v>
      </c>
      <c r="X22" s="57">
        <f>IF($D$5=$H$17,X5,0)</f>
        <v>0</v>
      </c>
      <c r="Y22" s="57">
        <f>IF($D$5=$H$18,Y5,0)</f>
        <v>0</v>
      </c>
      <c r="Z22" s="12">
        <v>22</v>
      </c>
      <c r="AA22" s="21"/>
      <c r="AB22" s="12">
        <v>21</v>
      </c>
    </row>
    <row r="23" spans="1:29" ht="17.25">
      <c r="A23" s="70"/>
      <c r="B23" s="71" t="s">
        <v>50</v>
      </c>
      <c r="C23" s="72"/>
      <c r="D23" s="93">
        <f>H54*D11/(D19*86400*D13/8/1000*1.1)</f>
        <v>197.97275894836866</v>
      </c>
      <c r="E23" s="73"/>
      <c r="F23" s="1"/>
      <c r="H23" s="55">
        <v>750</v>
      </c>
      <c r="I23" s="43" t="s">
        <v>14</v>
      </c>
      <c r="J23" s="44"/>
      <c r="K23" s="44"/>
      <c r="L23" s="44"/>
      <c r="M23" s="44"/>
      <c r="N23" s="44"/>
      <c r="O23" s="44"/>
      <c r="P23" s="44"/>
      <c r="Q23" s="44"/>
      <c r="R23" s="44"/>
      <c r="S23" s="44"/>
      <c r="T23" s="44"/>
      <c r="U23" s="44"/>
      <c r="V23" s="44"/>
      <c r="W23" s="58"/>
      <c r="X23" s="58"/>
      <c r="Y23" s="58"/>
      <c r="Z23" s="12">
        <v>23</v>
      </c>
      <c r="AA23" s="21"/>
      <c r="AB23" s="12">
        <v>22</v>
      </c>
    </row>
    <row r="24" spans="1:29" ht="17.25">
      <c r="A24" s="70"/>
      <c r="B24" s="74"/>
      <c r="C24" s="72"/>
      <c r="D24" s="78"/>
      <c r="E24" s="73"/>
      <c r="F24" s="1"/>
      <c r="H24" s="55">
        <v>1000</v>
      </c>
      <c r="I24" s="48"/>
      <c r="J24" s="49"/>
      <c r="K24" s="49"/>
      <c r="L24" s="49"/>
      <c r="M24" s="49"/>
      <c r="N24" s="49"/>
      <c r="O24" s="49"/>
      <c r="P24" s="49"/>
      <c r="Q24" s="49"/>
      <c r="R24" s="49"/>
      <c r="S24" s="48"/>
      <c r="T24" s="48"/>
      <c r="U24" s="49"/>
      <c r="V24" s="48"/>
      <c r="W24" s="36"/>
      <c r="X24" s="36"/>
      <c r="Y24" s="36"/>
      <c r="Z24" s="12">
        <v>24</v>
      </c>
      <c r="AA24" s="21"/>
      <c r="AB24" s="12">
        <v>23</v>
      </c>
    </row>
    <row r="25" spans="1:29" ht="17.25">
      <c r="A25" s="70"/>
      <c r="B25" s="71" t="s">
        <v>51</v>
      </c>
      <c r="C25" s="72"/>
      <c r="D25" s="9">
        <f>D11/D21</f>
        <v>9</v>
      </c>
      <c r="E25" s="73"/>
      <c r="F25" s="1"/>
      <c r="H25" s="55">
        <v>1500</v>
      </c>
      <c r="I25" s="33"/>
      <c r="J25" s="34"/>
      <c r="K25" s="34"/>
      <c r="L25" s="34"/>
      <c r="M25" s="34"/>
      <c r="N25" s="34"/>
      <c r="O25" s="34"/>
      <c r="P25" s="34"/>
      <c r="Q25" s="34"/>
      <c r="R25" s="34"/>
      <c r="S25" s="34"/>
      <c r="T25" s="34"/>
      <c r="U25" s="34"/>
      <c r="V25" s="34"/>
      <c r="W25" s="35"/>
      <c r="X25" s="35"/>
      <c r="Y25" s="35"/>
      <c r="Z25" s="12">
        <v>25</v>
      </c>
      <c r="AA25" s="21"/>
      <c r="AB25" s="12">
        <v>24</v>
      </c>
    </row>
    <row r="26" spans="1:29" ht="17.25">
      <c r="A26" s="70"/>
      <c r="B26" s="74"/>
      <c r="C26" s="72"/>
      <c r="D26" s="78"/>
      <c r="E26" s="73"/>
      <c r="F26" s="1"/>
      <c r="H26" s="55">
        <v>2000</v>
      </c>
      <c r="I26" s="17"/>
      <c r="J26" s="37"/>
      <c r="K26" s="37"/>
      <c r="L26" s="37"/>
      <c r="M26" s="37"/>
      <c r="N26" s="37"/>
      <c r="O26" s="37"/>
      <c r="P26" s="37"/>
      <c r="Q26" s="37"/>
      <c r="R26" s="37"/>
      <c r="S26" s="37"/>
      <c r="T26" s="60"/>
      <c r="U26" s="37"/>
      <c r="V26" s="60"/>
      <c r="W26" s="61"/>
      <c r="X26" s="61"/>
      <c r="Y26" s="61"/>
      <c r="Z26" s="12">
        <v>26</v>
      </c>
      <c r="AA26" s="21"/>
      <c r="AB26" s="12">
        <v>25</v>
      </c>
    </row>
    <row r="27" spans="1:29" ht="17.25">
      <c r="A27" s="70"/>
      <c r="B27" s="71" t="s">
        <v>36</v>
      </c>
      <c r="C27" s="72"/>
      <c r="D27" s="10">
        <f>SUM(ROUNDUP(D13/D21,0))</f>
        <v>20</v>
      </c>
      <c r="E27" s="73"/>
      <c r="F27" s="1"/>
      <c r="H27" s="53" t="s">
        <v>32</v>
      </c>
      <c r="I27" s="17"/>
      <c r="J27" s="18"/>
      <c r="K27" s="18"/>
      <c r="L27" s="18"/>
      <c r="M27" s="18"/>
      <c r="N27" s="18"/>
      <c r="O27" s="18"/>
      <c r="P27" s="18"/>
      <c r="Q27" s="18"/>
      <c r="R27" s="18"/>
      <c r="S27" s="18"/>
      <c r="T27" s="19"/>
      <c r="U27" s="18"/>
      <c r="V27" s="19"/>
      <c r="W27" s="20"/>
      <c r="X27" s="20"/>
      <c r="Y27" s="20"/>
      <c r="Z27" s="12">
        <v>27</v>
      </c>
      <c r="AA27" s="21"/>
      <c r="AB27" s="12">
        <v>26</v>
      </c>
    </row>
    <row r="28" spans="1:29" ht="17.25">
      <c r="A28" s="70"/>
      <c r="B28" s="74"/>
      <c r="C28" s="72"/>
      <c r="D28" s="78"/>
      <c r="E28" s="73"/>
      <c r="F28" s="1"/>
      <c r="H28" s="16" t="s">
        <v>34</v>
      </c>
      <c r="I28" s="43"/>
      <c r="J28" s="44"/>
      <c r="K28" s="44"/>
      <c r="L28" s="44"/>
      <c r="M28" s="44"/>
      <c r="N28" s="44"/>
      <c r="O28" s="44"/>
      <c r="P28" s="44"/>
      <c r="Q28" s="44"/>
      <c r="R28" s="44"/>
      <c r="S28" s="44"/>
      <c r="T28" s="45"/>
      <c r="U28" s="44"/>
      <c r="V28" s="45"/>
      <c r="W28" s="63"/>
      <c r="X28" s="63"/>
      <c r="Y28" s="63"/>
      <c r="Z28" s="12">
        <v>28</v>
      </c>
      <c r="AA28" s="21"/>
      <c r="AB28" s="12">
        <v>27</v>
      </c>
    </row>
    <row r="29" spans="1:29" ht="17.25">
      <c r="A29" s="188" t="s">
        <v>38</v>
      </c>
      <c r="B29" s="188"/>
      <c r="C29" s="188"/>
      <c r="D29" s="188"/>
      <c r="E29" s="188"/>
      <c r="F29" s="1"/>
      <c r="H29" s="16" t="s">
        <v>35</v>
      </c>
      <c r="I29" s="99"/>
      <c r="J29" s="49"/>
      <c r="K29" s="49"/>
      <c r="L29" s="49"/>
      <c r="M29" s="49"/>
      <c r="N29" s="49"/>
      <c r="O29" s="49"/>
      <c r="P29" s="49"/>
      <c r="Q29" s="49"/>
      <c r="R29" s="49"/>
      <c r="S29" s="48"/>
      <c r="T29" s="48"/>
      <c r="U29" s="49"/>
      <c r="V29" s="48"/>
      <c r="W29" s="36"/>
      <c r="X29" s="36"/>
      <c r="Y29" s="36"/>
      <c r="Z29" s="12">
        <v>29</v>
      </c>
      <c r="AA29" s="21"/>
      <c r="AB29" s="12">
        <v>28</v>
      </c>
    </row>
    <row r="30" spans="1:29" ht="17.25">
      <c r="A30" s="188" t="s">
        <v>40</v>
      </c>
      <c r="B30" s="188"/>
      <c r="C30" s="188"/>
      <c r="D30" s="188"/>
      <c r="E30" s="188"/>
      <c r="F30" s="1"/>
      <c r="H30" s="16" t="s">
        <v>37</v>
      </c>
      <c r="I30" s="33"/>
      <c r="J30" s="34"/>
      <c r="K30" s="34"/>
      <c r="L30" s="34"/>
      <c r="M30" s="34"/>
      <c r="N30" s="34"/>
      <c r="O30" s="34"/>
      <c r="P30" s="34"/>
      <c r="Q30" s="34"/>
      <c r="R30" s="34"/>
      <c r="S30" s="34"/>
      <c r="T30" s="34"/>
      <c r="U30" s="34"/>
      <c r="V30" s="34"/>
      <c r="W30" s="35"/>
      <c r="X30" s="35"/>
      <c r="Y30" s="35"/>
      <c r="Z30" s="12">
        <v>30</v>
      </c>
      <c r="AA30" s="21"/>
      <c r="AB30" s="12">
        <v>29</v>
      </c>
    </row>
    <row r="31" spans="1:29" ht="57" customHeight="1">
      <c r="A31" s="189" t="s">
        <v>168</v>
      </c>
      <c r="B31" s="190"/>
      <c r="C31" s="190"/>
      <c r="D31" s="190"/>
      <c r="E31" s="191"/>
      <c r="F31" s="1"/>
      <c r="H31" s="53" t="s">
        <v>23</v>
      </c>
      <c r="I31" s="17"/>
      <c r="J31" s="37"/>
      <c r="K31" s="37"/>
      <c r="L31" s="37"/>
      <c r="M31" s="37"/>
      <c r="N31" s="37"/>
      <c r="O31" s="37"/>
      <c r="P31" s="37"/>
      <c r="Q31" s="37"/>
      <c r="R31" s="37"/>
      <c r="S31" s="37"/>
      <c r="T31" s="38"/>
      <c r="U31" s="37"/>
      <c r="V31" s="38"/>
      <c r="W31" s="64"/>
      <c r="X31" s="64"/>
      <c r="Y31" s="64"/>
      <c r="Z31" s="12">
        <v>31</v>
      </c>
      <c r="AA31" s="21"/>
      <c r="AB31" s="12">
        <v>30</v>
      </c>
    </row>
    <row r="32" spans="1:29" ht="17.25">
      <c r="A32" s="195" t="s">
        <v>61</v>
      </c>
      <c r="B32" s="196"/>
      <c r="C32" s="196"/>
      <c r="D32" s="196"/>
      <c r="E32" s="197"/>
      <c r="F32" s="1"/>
      <c r="H32" s="16" t="s">
        <v>24</v>
      </c>
      <c r="I32" s="98"/>
      <c r="J32" s="18"/>
      <c r="K32" s="18"/>
      <c r="L32" s="18"/>
      <c r="M32" s="18"/>
      <c r="N32" s="18"/>
      <c r="O32" s="18"/>
      <c r="P32" s="18"/>
      <c r="Q32" s="18"/>
      <c r="R32" s="18"/>
      <c r="S32" s="18"/>
      <c r="T32" s="19"/>
      <c r="U32" s="18"/>
      <c r="V32" s="19"/>
      <c r="W32" s="20"/>
      <c r="X32" s="20"/>
      <c r="Y32" s="20"/>
      <c r="Z32" s="12">
        <v>32</v>
      </c>
      <c r="AA32" s="21"/>
      <c r="AB32" s="12">
        <v>31</v>
      </c>
    </row>
    <row r="33" spans="1:28" ht="18" thickBot="1">
      <c r="A33" s="79"/>
      <c r="B33" s="80"/>
      <c r="C33" s="81"/>
      <c r="D33" s="82"/>
      <c r="E33" s="83"/>
      <c r="F33" s="1"/>
      <c r="H33" s="16" t="s">
        <v>25</v>
      </c>
      <c r="I33" s="22"/>
      <c r="J33" s="23"/>
      <c r="K33" s="23"/>
      <c r="L33" s="23"/>
      <c r="M33" s="23"/>
      <c r="N33" s="23"/>
      <c r="O33" s="23"/>
      <c r="P33" s="23"/>
      <c r="Q33" s="23"/>
      <c r="R33" s="23"/>
      <c r="S33" s="23"/>
      <c r="T33" s="24"/>
      <c r="U33" s="23"/>
      <c r="V33" s="24"/>
      <c r="W33" s="25"/>
      <c r="X33" s="25"/>
      <c r="Y33" s="25"/>
      <c r="Z33" s="12">
        <v>33</v>
      </c>
      <c r="AA33" s="21"/>
      <c r="AB33" s="12">
        <v>32</v>
      </c>
    </row>
    <row r="34" spans="1:28" ht="25.5">
      <c r="A34" s="192" t="s">
        <v>130</v>
      </c>
      <c r="B34" s="193"/>
      <c r="C34" s="193"/>
      <c r="D34" s="193"/>
      <c r="E34" s="194"/>
      <c r="F34" s="1"/>
      <c r="H34" s="16" t="s">
        <v>27</v>
      </c>
      <c r="I34" s="15"/>
      <c r="J34" s="15"/>
      <c r="K34" s="15"/>
      <c r="L34" s="15"/>
      <c r="M34" s="15"/>
      <c r="N34" s="15"/>
      <c r="O34" s="15"/>
      <c r="P34" s="15"/>
      <c r="Q34" s="15"/>
      <c r="R34" s="15"/>
      <c r="S34" s="15"/>
      <c r="T34" s="15"/>
      <c r="U34" s="15"/>
      <c r="V34" s="15"/>
      <c r="W34" s="15"/>
      <c r="X34" s="15"/>
      <c r="Y34" s="15"/>
      <c r="Z34" s="12">
        <v>34</v>
      </c>
      <c r="AA34" s="21"/>
      <c r="AB34" s="12"/>
    </row>
    <row r="35" spans="1:28" ht="18" thickBot="1">
      <c r="A35" s="84"/>
      <c r="B35" s="85"/>
      <c r="C35" s="86"/>
      <c r="D35" s="87"/>
      <c r="E35" s="88"/>
      <c r="F35" s="1"/>
      <c r="H35" s="59" t="s">
        <v>39</v>
      </c>
      <c r="I35" s="15"/>
      <c r="J35" s="15"/>
      <c r="K35" s="15"/>
      <c r="L35" s="15"/>
      <c r="M35" s="15"/>
      <c r="N35" s="15"/>
      <c r="O35" s="15"/>
      <c r="P35" s="15"/>
      <c r="Q35" s="15"/>
      <c r="R35" s="15"/>
      <c r="S35" s="15"/>
      <c r="T35" s="15"/>
      <c r="U35" s="15"/>
      <c r="V35" s="15"/>
      <c r="W35" s="15"/>
      <c r="X35" s="15"/>
      <c r="Y35" s="15"/>
      <c r="Z35" s="12">
        <v>35</v>
      </c>
      <c r="AA35" s="21"/>
    </row>
    <row r="36" spans="1:28" ht="17.25">
      <c r="A36" s="12"/>
      <c r="B36" s="13"/>
      <c r="C36" s="12"/>
      <c r="D36" s="14"/>
      <c r="E36" s="12"/>
      <c r="F36" s="1"/>
      <c r="H36" s="62">
        <v>0.25</v>
      </c>
      <c r="I36" s="15"/>
      <c r="J36" s="15"/>
      <c r="K36" s="15"/>
      <c r="L36" s="15"/>
      <c r="M36" s="15"/>
      <c r="N36" s="15"/>
      <c r="O36" s="15"/>
      <c r="P36" s="15"/>
      <c r="Q36" s="15"/>
      <c r="R36" s="15"/>
      <c r="S36" s="15"/>
      <c r="T36" s="15"/>
      <c r="U36" s="15"/>
      <c r="V36" s="15"/>
      <c r="W36" s="15"/>
      <c r="X36" s="15"/>
      <c r="Y36" s="15"/>
      <c r="Z36" s="12">
        <v>36</v>
      </c>
      <c r="AA36" s="21"/>
      <c r="AB36" s="21"/>
    </row>
    <row r="37" spans="1:28" ht="17.25">
      <c r="A37" s="12"/>
      <c r="B37" s="13"/>
      <c r="C37" s="12"/>
      <c r="D37" s="14"/>
      <c r="E37" s="12"/>
      <c r="F37" s="15"/>
      <c r="H37" s="62">
        <v>0.5</v>
      </c>
      <c r="I37" s="15"/>
      <c r="J37" s="15"/>
      <c r="K37" s="15"/>
      <c r="L37" s="15"/>
      <c r="M37" s="15"/>
      <c r="N37" s="15"/>
      <c r="O37" s="15"/>
      <c r="P37" s="15"/>
      <c r="Q37" s="15"/>
      <c r="R37" s="15"/>
      <c r="S37" s="15"/>
      <c r="T37" s="15"/>
      <c r="U37" s="15"/>
      <c r="V37" s="15"/>
      <c r="W37" s="15"/>
      <c r="X37" s="15"/>
      <c r="Y37" s="15"/>
      <c r="Z37" s="12">
        <v>37</v>
      </c>
      <c r="AA37" s="21"/>
      <c r="AB37" s="21"/>
    </row>
    <row r="38" spans="1:28" ht="17.25">
      <c r="A38" s="12"/>
      <c r="B38" s="13"/>
      <c r="C38" s="12"/>
      <c r="D38" s="14"/>
      <c r="E38" s="12"/>
      <c r="F38" s="12"/>
      <c r="H38" s="97">
        <v>0.75</v>
      </c>
      <c r="I38" s="15"/>
      <c r="J38" s="15"/>
      <c r="K38" s="15"/>
      <c r="L38" s="15"/>
      <c r="M38" s="15"/>
      <c r="N38" s="15"/>
      <c r="O38" s="15"/>
      <c r="P38" s="15"/>
      <c r="Q38" s="15"/>
      <c r="R38" s="15"/>
      <c r="S38" s="15"/>
      <c r="T38" s="15"/>
      <c r="U38" s="15"/>
      <c r="V38" s="15"/>
      <c r="W38" s="15"/>
      <c r="X38" s="15"/>
      <c r="Y38" s="15"/>
      <c r="Z38" s="12">
        <v>38</v>
      </c>
      <c r="AA38" s="21"/>
      <c r="AB38" s="21"/>
    </row>
    <row r="39" spans="1:28" ht="18" thickBot="1">
      <c r="A39" s="12"/>
      <c r="B39" s="13"/>
      <c r="C39" s="12"/>
      <c r="D39" s="14"/>
      <c r="E39" s="12"/>
      <c r="F39" s="12"/>
      <c r="H39" s="96">
        <v>1</v>
      </c>
      <c r="I39" s="15"/>
      <c r="J39" s="15"/>
      <c r="K39" s="15"/>
      <c r="L39" s="15"/>
      <c r="M39" s="15"/>
      <c r="N39" s="15"/>
      <c r="O39" s="15"/>
      <c r="P39" s="15"/>
      <c r="Q39" s="15"/>
      <c r="R39" s="15"/>
      <c r="S39" s="15"/>
      <c r="T39" s="15"/>
      <c r="U39" s="15"/>
      <c r="V39" s="15"/>
      <c r="W39" s="15"/>
      <c r="X39" s="15"/>
      <c r="Y39" s="15"/>
      <c r="Z39" s="12">
        <v>39</v>
      </c>
      <c r="AA39" s="21"/>
      <c r="AB39" s="21"/>
    </row>
    <row r="40" spans="1:28" ht="18" thickTop="1">
      <c r="A40" s="12"/>
      <c r="B40" s="13"/>
      <c r="C40" s="12"/>
      <c r="D40" s="14"/>
      <c r="E40" s="12"/>
      <c r="F40" s="12"/>
      <c r="H40" s="15"/>
      <c r="I40" s="15"/>
      <c r="J40" s="15"/>
      <c r="K40" s="15"/>
      <c r="L40" s="15"/>
      <c r="M40" s="15"/>
      <c r="N40" s="15"/>
      <c r="O40" s="15"/>
      <c r="P40" s="15"/>
      <c r="Q40" s="15"/>
      <c r="R40" s="15"/>
      <c r="S40" s="15"/>
      <c r="T40" s="15"/>
      <c r="U40" s="15"/>
      <c r="V40" s="15"/>
      <c r="W40" s="15"/>
      <c r="X40" s="15"/>
      <c r="Y40" s="15"/>
      <c r="Z40" s="12">
        <v>40</v>
      </c>
      <c r="AA40" s="21"/>
      <c r="AB40" s="21"/>
    </row>
    <row r="41" spans="1:28" ht="17.25">
      <c r="A41" s="12"/>
      <c r="B41" s="13"/>
      <c r="C41" s="12"/>
      <c r="D41" s="14"/>
      <c r="E41" s="12"/>
      <c r="F41" s="12"/>
      <c r="H41" s="59" t="s">
        <v>137</v>
      </c>
      <c r="I41" s="15"/>
      <c r="J41" s="15"/>
      <c r="K41" s="15"/>
      <c r="L41" s="15"/>
      <c r="M41" s="15"/>
      <c r="N41" s="15"/>
      <c r="O41" s="15"/>
      <c r="P41" s="15"/>
      <c r="Q41" s="15"/>
      <c r="R41" s="15"/>
      <c r="S41" s="15"/>
      <c r="T41" s="15"/>
      <c r="U41" s="15"/>
      <c r="V41" s="15"/>
      <c r="W41" s="15"/>
      <c r="X41" s="15"/>
      <c r="Y41" s="15"/>
      <c r="Z41" s="12">
        <v>41</v>
      </c>
      <c r="AA41" s="21"/>
      <c r="AB41" s="21"/>
    </row>
    <row r="42" spans="1:28" ht="17.25">
      <c r="A42" s="12"/>
      <c r="B42" s="13"/>
      <c r="C42" s="12"/>
      <c r="D42" s="14"/>
      <c r="E42" s="12"/>
      <c r="F42" s="12"/>
      <c r="H42" s="62" t="s">
        <v>178</v>
      </c>
      <c r="I42" s="15"/>
      <c r="J42" s="15"/>
      <c r="K42" s="15"/>
      <c r="L42" s="15"/>
      <c r="M42" s="15"/>
      <c r="N42" s="15"/>
      <c r="O42" s="15"/>
      <c r="P42" s="15"/>
      <c r="Q42" s="15"/>
      <c r="R42" s="15"/>
      <c r="S42" s="15"/>
      <c r="T42" s="15"/>
      <c r="U42" s="15"/>
      <c r="V42" s="15"/>
      <c r="W42" s="15"/>
      <c r="X42" s="15"/>
      <c r="Y42" s="15"/>
      <c r="Z42" s="12">
        <v>42</v>
      </c>
      <c r="AA42" s="21"/>
      <c r="AB42" s="21"/>
    </row>
    <row r="43" spans="1:28" ht="17.25">
      <c r="A43" s="12"/>
      <c r="B43" s="13"/>
      <c r="C43" s="12"/>
      <c r="D43" s="14"/>
      <c r="E43" s="12"/>
      <c r="F43" s="12"/>
      <c r="H43" s="62" t="s">
        <v>138</v>
      </c>
      <c r="I43" s="15"/>
      <c r="J43" s="15"/>
      <c r="K43" s="15"/>
      <c r="L43" s="15"/>
      <c r="M43" s="15"/>
      <c r="N43" s="15"/>
      <c r="O43" s="15"/>
      <c r="P43" s="15"/>
      <c r="Q43" s="15"/>
      <c r="R43" s="15"/>
      <c r="S43" s="15"/>
      <c r="T43" s="15"/>
      <c r="U43" s="15"/>
      <c r="V43" s="15"/>
      <c r="W43" s="15"/>
      <c r="X43" s="15"/>
      <c r="Y43" s="15"/>
      <c r="Z43" s="12">
        <v>43</v>
      </c>
      <c r="AA43" s="21"/>
      <c r="AB43" s="21"/>
    </row>
    <row r="44" spans="1:28" ht="17.25">
      <c r="A44" s="12"/>
      <c r="B44" s="13"/>
      <c r="C44" s="12"/>
      <c r="D44" s="14"/>
      <c r="E44" s="12"/>
      <c r="F44" s="12"/>
      <c r="H44" s="62" t="s">
        <v>139</v>
      </c>
      <c r="I44" s="15"/>
      <c r="J44" s="15"/>
      <c r="K44" s="15"/>
      <c r="L44" s="15"/>
      <c r="M44" s="15"/>
      <c r="N44" s="15"/>
      <c r="O44" s="15"/>
      <c r="P44" s="15"/>
      <c r="Q44" s="15"/>
      <c r="R44" s="15"/>
      <c r="S44" s="15"/>
      <c r="T44" s="15"/>
      <c r="U44" s="15"/>
      <c r="V44" s="15"/>
      <c r="W44" s="15"/>
      <c r="X44" s="15"/>
      <c r="Y44" s="15"/>
      <c r="Z44" s="12">
        <v>44</v>
      </c>
      <c r="AA44" s="21"/>
      <c r="AB44" s="21"/>
    </row>
    <row r="45" spans="1:28" ht="18.75">
      <c r="A45" s="12"/>
      <c r="B45" s="13"/>
      <c r="C45" s="12"/>
      <c r="D45" s="14"/>
      <c r="E45" s="12"/>
      <c r="F45" s="12"/>
      <c r="H45" s="179" t="s">
        <v>157</v>
      </c>
      <c r="I45" s="12"/>
      <c r="J45" s="15"/>
      <c r="K45" s="15"/>
      <c r="L45" s="15"/>
      <c r="M45" s="15"/>
      <c r="N45" s="15"/>
      <c r="O45" s="15"/>
      <c r="P45" s="15"/>
      <c r="Q45" s="15"/>
      <c r="R45" s="15"/>
      <c r="S45" s="15"/>
      <c r="T45" s="15"/>
      <c r="U45" s="15"/>
      <c r="V45" s="15"/>
      <c r="W45" s="15"/>
      <c r="X45" s="15"/>
      <c r="Y45" s="15"/>
      <c r="Z45" s="12">
        <v>45</v>
      </c>
      <c r="AA45" s="21"/>
      <c r="AB45" s="21"/>
    </row>
    <row r="46" spans="1:28" ht="18.75">
      <c r="A46" s="12"/>
      <c r="B46" s="13"/>
      <c r="C46" s="12"/>
      <c r="D46" s="14"/>
      <c r="E46" s="12"/>
      <c r="F46" s="12"/>
      <c r="H46" s="179" t="s">
        <v>158</v>
      </c>
      <c r="I46" s="12"/>
      <c r="J46" s="15"/>
      <c r="K46" s="15"/>
      <c r="L46" s="15"/>
      <c r="M46" s="15"/>
      <c r="N46" s="15"/>
      <c r="O46" s="15"/>
      <c r="P46" s="15"/>
      <c r="Q46" s="15"/>
      <c r="R46" s="15"/>
      <c r="S46" s="15"/>
      <c r="T46" s="15"/>
      <c r="U46" s="15"/>
      <c r="V46" s="15"/>
      <c r="W46" s="15"/>
      <c r="X46" s="15"/>
      <c r="Y46" s="15"/>
      <c r="Z46" s="12">
        <v>46</v>
      </c>
      <c r="AA46" s="21"/>
      <c r="AB46" s="21"/>
    </row>
    <row r="47" spans="1:28" ht="18.75">
      <c r="A47" s="12"/>
      <c r="B47" s="13"/>
      <c r="C47" s="12"/>
      <c r="D47" s="14"/>
      <c r="E47" s="12"/>
      <c r="F47" s="12"/>
      <c r="H47" s="179" t="s">
        <v>159</v>
      </c>
      <c r="I47" s="15"/>
      <c r="J47" s="15"/>
      <c r="K47" s="15"/>
      <c r="L47" s="15"/>
      <c r="M47" s="15"/>
      <c r="N47" s="15"/>
      <c r="O47" s="15"/>
      <c r="P47" s="15"/>
      <c r="Q47" s="15"/>
      <c r="R47" s="15"/>
      <c r="S47" s="15"/>
      <c r="T47" s="15"/>
      <c r="U47" s="15"/>
      <c r="V47" s="15"/>
      <c r="W47" s="15"/>
      <c r="X47" s="15"/>
      <c r="Y47" s="15"/>
      <c r="Z47" s="12">
        <v>47</v>
      </c>
      <c r="AA47" s="21"/>
      <c r="AB47" s="21"/>
    </row>
    <row r="48" spans="1:28" ht="18.75">
      <c r="A48" s="12"/>
      <c r="B48" s="13"/>
      <c r="C48" s="12"/>
      <c r="D48" s="14"/>
      <c r="E48" s="12"/>
      <c r="F48" s="12"/>
      <c r="H48" s="179" t="s">
        <v>160</v>
      </c>
      <c r="I48" s="15"/>
      <c r="J48" s="15"/>
      <c r="K48" s="15"/>
      <c r="L48" s="15"/>
      <c r="M48" s="15"/>
      <c r="N48" s="15"/>
      <c r="O48" s="15"/>
      <c r="P48" s="15"/>
      <c r="Q48" s="15"/>
      <c r="R48" s="15"/>
      <c r="S48" s="15"/>
      <c r="T48" s="15"/>
      <c r="U48" s="15"/>
      <c r="V48" s="15"/>
      <c r="W48" s="15"/>
      <c r="X48" s="15"/>
      <c r="Y48" s="15"/>
      <c r="Z48" s="12">
        <v>48</v>
      </c>
      <c r="AA48" s="21"/>
      <c r="AB48" s="21"/>
    </row>
    <row r="49" spans="1:28" ht="18.75">
      <c r="A49" s="12"/>
      <c r="B49" s="13"/>
      <c r="C49" s="12"/>
      <c r="D49" s="14"/>
      <c r="E49" s="12"/>
      <c r="F49" s="12"/>
      <c r="H49" s="180" t="s">
        <v>161</v>
      </c>
      <c r="I49" s="15"/>
      <c r="J49" s="15"/>
      <c r="K49" s="15"/>
      <c r="L49" s="15"/>
      <c r="M49" s="15"/>
      <c r="N49" s="15"/>
      <c r="O49" s="15"/>
      <c r="P49" s="15"/>
      <c r="Q49" s="15"/>
      <c r="R49" s="15"/>
      <c r="S49" s="15"/>
      <c r="T49" s="15"/>
      <c r="U49" s="15"/>
      <c r="V49" s="15"/>
      <c r="W49" s="15"/>
      <c r="X49" s="15"/>
      <c r="Y49" s="15"/>
      <c r="Z49" s="12">
        <v>49</v>
      </c>
      <c r="AA49" s="21"/>
      <c r="AB49" s="21"/>
    </row>
    <row r="50" spans="1:28" ht="18.75">
      <c r="A50" s="12"/>
      <c r="B50" s="13"/>
      <c r="C50" s="12"/>
      <c r="D50" s="14"/>
      <c r="E50" s="12"/>
      <c r="F50" s="12"/>
      <c r="H50" s="179" t="s">
        <v>162</v>
      </c>
      <c r="I50" s="1"/>
      <c r="J50" s="1"/>
      <c r="K50" s="1"/>
      <c r="L50" s="1"/>
      <c r="M50" s="1"/>
      <c r="N50" s="1"/>
      <c r="O50" s="1"/>
      <c r="P50" s="1"/>
      <c r="Q50" s="1"/>
      <c r="R50" s="1"/>
      <c r="S50" s="1"/>
      <c r="T50" s="1"/>
      <c r="U50" s="1"/>
      <c r="V50" s="1"/>
      <c r="W50" s="1"/>
      <c r="X50" s="1"/>
      <c r="Y50" s="1"/>
      <c r="Z50" s="12">
        <v>50</v>
      </c>
      <c r="AA50" s="21"/>
      <c r="AB50" s="21"/>
    </row>
    <row r="51" spans="1:28" ht="18.75">
      <c r="A51" s="12"/>
      <c r="B51" s="13"/>
      <c r="C51" s="12"/>
      <c r="D51" s="14"/>
      <c r="E51" s="12"/>
      <c r="F51" s="12"/>
      <c r="H51" s="180" t="s">
        <v>163</v>
      </c>
      <c r="I51" s="1"/>
      <c r="J51" s="1"/>
      <c r="K51" s="1"/>
      <c r="L51" s="1"/>
      <c r="M51" s="1"/>
      <c r="N51" s="1"/>
      <c r="O51" s="1"/>
      <c r="P51" s="1"/>
      <c r="Q51" s="1"/>
      <c r="R51" s="1"/>
      <c r="S51" s="1"/>
      <c r="T51" s="1"/>
      <c r="U51" s="1"/>
      <c r="V51" s="1"/>
      <c r="W51" s="1"/>
      <c r="X51" s="1"/>
      <c r="Y51" s="1"/>
      <c r="Z51" s="12">
        <v>51</v>
      </c>
      <c r="AA51" s="21"/>
      <c r="AB51" s="21"/>
    </row>
    <row r="52" spans="1:28" ht="18.75">
      <c r="A52" s="15"/>
      <c r="B52" s="26"/>
      <c r="C52" s="15"/>
      <c r="D52" s="27"/>
      <c r="E52" s="15"/>
      <c r="F52" s="12"/>
      <c r="H52" s="184" t="s">
        <v>174</v>
      </c>
      <c r="I52" s="1"/>
      <c r="J52" s="1"/>
      <c r="K52" s="1"/>
      <c r="L52" s="1"/>
      <c r="M52" s="1"/>
      <c r="N52" s="1"/>
      <c r="O52" s="1"/>
      <c r="P52" s="1"/>
      <c r="Q52" s="1"/>
      <c r="R52" s="1"/>
      <c r="S52" s="1"/>
      <c r="T52" s="1"/>
      <c r="U52" s="1"/>
      <c r="V52" s="1"/>
      <c r="W52" s="1"/>
      <c r="X52" s="1"/>
      <c r="Y52" s="1"/>
      <c r="Z52" s="12">
        <v>52</v>
      </c>
      <c r="AA52" s="21"/>
      <c r="AB52" s="21"/>
    </row>
    <row r="53" spans="1:28" ht="18.75">
      <c r="A53" s="15"/>
      <c r="B53" s="26"/>
      <c r="C53" s="15"/>
      <c r="D53" s="27"/>
      <c r="E53" s="15"/>
      <c r="F53" s="12"/>
      <c r="H53" s="184" t="s">
        <v>175</v>
      </c>
      <c r="I53" s="15"/>
      <c r="J53" s="15"/>
      <c r="K53" s="15"/>
      <c r="L53" s="15"/>
      <c r="M53" s="15"/>
      <c r="N53" s="15"/>
      <c r="O53" s="15"/>
      <c r="P53" s="15"/>
      <c r="Q53" s="15"/>
      <c r="R53" s="15"/>
      <c r="S53" s="15"/>
      <c r="T53" s="15"/>
      <c r="U53" s="15"/>
      <c r="V53" s="15"/>
      <c r="W53" s="15"/>
      <c r="X53" s="15"/>
      <c r="Y53" s="15"/>
      <c r="Z53" s="12">
        <v>53</v>
      </c>
      <c r="AA53" s="21"/>
      <c r="AB53" s="21"/>
    </row>
    <row r="54" spans="1:28" ht="17.25">
      <c r="A54" s="1"/>
      <c r="B54" s="5"/>
      <c r="C54" s="1"/>
      <c r="D54" s="4"/>
      <c r="E54" s="1"/>
      <c r="F54" s="15"/>
      <c r="H54" s="15">
        <f>IF(OR($D$15=$H$45,$D$15=$H$49),1000,IF(OR($D$15=$H$46,$D$15=$H$47,$D$15=$H$48,$D$15=$H$50,$D$15=$H$51),2000,IF(OR($D$15=$H$53,$D$15=$H$52),3000,2000)))</f>
        <v>2000</v>
      </c>
      <c r="I54" s="15"/>
      <c r="J54" s="15"/>
      <c r="K54" s="15"/>
      <c r="L54" s="15"/>
      <c r="M54" s="15"/>
      <c r="N54" s="15"/>
      <c r="O54" s="15"/>
      <c r="P54" s="15"/>
      <c r="Q54" s="15"/>
      <c r="R54" s="15"/>
      <c r="S54" s="15"/>
      <c r="T54" s="15"/>
      <c r="U54" s="15"/>
      <c r="V54" s="15"/>
      <c r="W54" s="15"/>
      <c r="X54" s="15"/>
      <c r="Y54" s="15"/>
      <c r="Z54" s="2">
        <v>54</v>
      </c>
    </row>
    <row r="55" spans="1:28" ht="17.25">
      <c r="A55" s="1"/>
      <c r="B55" s="5"/>
      <c r="C55" s="1"/>
      <c r="D55" s="4"/>
      <c r="E55" s="1"/>
      <c r="F55" s="1"/>
      <c r="H55" s="1"/>
      <c r="I55" s="15"/>
      <c r="J55" s="15"/>
      <c r="K55" s="15"/>
      <c r="L55" s="15"/>
      <c r="M55" s="15"/>
      <c r="N55" s="15"/>
      <c r="O55" s="15"/>
      <c r="P55" s="15"/>
      <c r="Q55" s="15"/>
      <c r="R55" s="15"/>
      <c r="S55" s="15"/>
      <c r="T55" s="15"/>
      <c r="U55" s="15"/>
      <c r="V55" s="15"/>
      <c r="W55" s="15"/>
      <c r="X55" s="15"/>
      <c r="Y55" s="15"/>
      <c r="Z55" s="2">
        <v>55</v>
      </c>
    </row>
    <row r="56" spans="1:28" ht="17.25">
      <c r="A56" s="1"/>
      <c r="B56" s="5"/>
      <c r="C56" s="1"/>
      <c r="D56" s="4"/>
      <c r="E56" s="1"/>
      <c r="F56" s="1"/>
      <c r="H56" s="1"/>
      <c r="I56" s="15"/>
      <c r="J56" s="15"/>
      <c r="K56" s="15"/>
      <c r="L56" s="15"/>
      <c r="M56" s="15"/>
      <c r="N56" s="15"/>
      <c r="O56" s="15"/>
      <c r="P56" s="15"/>
      <c r="Q56" s="15"/>
      <c r="R56" s="15"/>
      <c r="S56" s="15"/>
      <c r="T56" s="15"/>
      <c r="U56" s="15"/>
      <c r="V56" s="15"/>
      <c r="W56" s="15"/>
      <c r="X56" s="15"/>
      <c r="Y56" s="15"/>
      <c r="Z56" s="2">
        <v>56</v>
      </c>
    </row>
    <row r="57" spans="1:28" ht="17.25">
      <c r="A57" s="15"/>
      <c r="B57" s="26"/>
      <c r="C57" s="15"/>
      <c r="D57" s="27"/>
      <c r="E57" s="15"/>
      <c r="F57" s="1"/>
      <c r="H57" s="15"/>
      <c r="I57" s="15"/>
      <c r="J57" s="15"/>
      <c r="K57" s="15"/>
      <c r="L57" s="15"/>
      <c r="M57" s="15"/>
      <c r="N57" s="15"/>
      <c r="O57" s="15"/>
      <c r="P57" s="15"/>
      <c r="Q57" s="15"/>
      <c r="R57" s="15"/>
      <c r="S57" s="15"/>
      <c r="T57" s="15"/>
      <c r="U57" s="15"/>
      <c r="V57" s="15"/>
      <c r="W57" s="15"/>
      <c r="X57" s="15"/>
      <c r="Y57" s="15"/>
      <c r="Z57" s="12">
        <v>57</v>
      </c>
      <c r="AA57" s="21"/>
      <c r="AB57" s="21"/>
    </row>
    <row r="58" spans="1:28" ht="17.25">
      <c r="A58" s="15"/>
      <c r="B58" s="26"/>
      <c r="C58" s="15"/>
      <c r="D58" s="27"/>
      <c r="E58" s="15"/>
      <c r="F58" s="15"/>
      <c r="H58" s="15"/>
      <c r="I58" s="15"/>
      <c r="J58" s="15"/>
      <c r="K58" s="15"/>
      <c r="L58" s="15"/>
      <c r="M58" s="15"/>
      <c r="N58" s="15"/>
      <c r="O58" s="15"/>
      <c r="P58" s="15"/>
      <c r="Q58" s="15"/>
      <c r="R58" s="15"/>
      <c r="S58" s="15"/>
      <c r="T58" s="15"/>
      <c r="U58" s="15"/>
      <c r="V58" s="15"/>
      <c r="W58" s="15"/>
      <c r="X58" s="15"/>
      <c r="Y58" s="15"/>
      <c r="Z58" s="12">
        <v>58</v>
      </c>
      <c r="AA58" s="21"/>
      <c r="AB58" s="21"/>
    </row>
    <row r="59" spans="1:28" ht="17.25">
      <c r="A59" s="12"/>
      <c r="B59" s="13"/>
      <c r="C59" s="12"/>
      <c r="D59" s="14"/>
      <c r="E59" s="12"/>
      <c r="F59" s="15"/>
      <c r="H59" s="15"/>
      <c r="I59" s="15"/>
      <c r="J59" s="15"/>
      <c r="K59" s="15"/>
      <c r="L59" s="15"/>
      <c r="M59" s="15"/>
      <c r="N59" s="15"/>
      <c r="O59" s="15"/>
      <c r="P59" s="15"/>
      <c r="Q59" s="15"/>
      <c r="R59" s="15"/>
      <c r="S59" s="15"/>
      <c r="T59" s="15"/>
      <c r="U59" s="15"/>
      <c r="V59" s="15"/>
      <c r="W59" s="15"/>
      <c r="X59" s="15"/>
      <c r="Y59" s="15"/>
      <c r="Z59" s="12">
        <v>59</v>
      </c>
      <c r="AA59" s="21"/>
      <c r="AB59" s="21"/>
    </row>
    <row r="60" spans="1:28" ht="17.25">
      <c r="A60" s="12"/>
      <c r="B60" s="13"/>
      <c r="C60" s="12"/>
      <c r="D60" s="14"/>
      <c r="E60" s="12"/>
      <c r="F60" s="15"/>
      <c r="H60" s="15"/>
      <c r="I60" s="1"/>
      <c r="J60" s="1"/>
      <c r="K60" s="1"/>
      <c r="L60" s="1"/>
      <c r="M60" s="1"/>
      <c r="N60" s="1"/>
      <c r="O60" s="1"/>
      <c r="P60" s="1"/>
      <c r="Q60" s="1"/>
      <c r="R60" s="1"/>
      <c r="S60" s="1"/>
      <c r="T60" s="1"/>
      <c r="U60" s="1"/>
      <c r="V60" s="1"/>
      <c r="W60" s="1"/>
      <c r="X60" s="1"/>
      <c r="Y60" s="1"/>
      <c r="Z60" s="12">
        <v>60</v>
      </c>
      <c r="AA60" s="21"/>
      <c r="AB60" s="21"/>
    </row>
    <row r="61" spans="1:28" ht="17.25">
      <c r="A61" s="15"/>
      <c r="B61" s="26"/>
      <c r="C61" s="15"/>
      <c r="D61" s="27"/>
      <c r="E61" s="15"/>
      <c r="F61" s="15"/>
      <c r="H61" s="15"/>
      <c r="Z61" s="12">
        <v>61</v>
      </c>
      <c r="AA61" s="21"/>
      <c r="AB61" s="21"/>
    </row>
    <row r="62" spans="1:28" ht="17.25">
      <c r="A62" s="15"/>
      <c r="B62" s="26"/>
      <c r="C62" s="15"/>
      <c r="D62" s="27"/>
      <c r="E62" s="15"/>
      <c r="F62" s="15"/>
      <c r="H62" s="15"/>
      <c r="Z62" s="12">
        <v>62</v>
      </c>
      <c r="AA62" s="21"/>
      <c r="AB62" s="21"/>
    </row>
    <row r="63" spans="1:28" ht="17.25">
      <c r="A63" s="15"/>
      <c r="B63" s="26"/>
      <c r="C63" s="15"/>
      <c r="D63" s="27"/>
      <c r="E63" s="15"/>
      <c r="F63" s="15"/>
      <c r="H63" s="15"/>
      <c r="Z63" s="12">
        <v>63</v>
      </c>
      <c r="AA63" s="21"/>
      <c r="AB63" s="21"/>
    </row>
    <row r="64" spans="1:28" ht="17.25">
      <c r="A64" s="1"/>
      <c r="B64" s="5"/>
      <c r="C64" s="1"/>
      <c r="D64" s="4"/>
      <c r="E64" s="1"/>
      <c r="F64" s="15"/>
      <c r="H64" s="1"/>
      <c r="Z64" s="2">
        <v>64</v>
      </c>
    </row>
    <row r="65" spans="6:26" ht="17.25">
      <c r="F65" s="1"/>
      <c r="Z65" s="2">
        <v>65</v>
      </c>
    </row>
    <row r="66" spans="6:26" ht="17.25">
      <c r="Z66" s="2">
        <v>66</v>
      </c>
    </row>
    <row r="67" spans="6:26" ht="17.25">
      <c r="Z67" s="2">
        <v>67</v>
      </c>
    </row>
    <row r="68" spans="6:26" ht="17.25">
      <c r="Z68" s="2">
        <v>68</v>
      </c>
    </row>
    <row r="69" spans="6:26" ht="17.25">
      <c r="Z69" s="2">
        <v>69</v>
      </c>
    </row>
    <row r="70" spans="6:26" ht="17.25">
      <c r="Z70" s="2">
        <v>70</v>
      </c>
    </row>
    <row r="71" spans="6:26" ht="17.25">
      <c r="Z71" s="2">
        <v>71</v>
      </c>
    </row>
    <row r="72" spans="6:26" ht="17.25">
      <c r="Z72" s="2">
        <v>72</v>
      </c>
    </row>
    <row r="73" spans="6:26" ht="17.25">
      <c r="Z73" s="2">
        <v>73</v>
      </c>
    </row>
    <row r="74" spans="6:26" ht="17.25">
      <c r="Z74" s="2">
        <v>74</v>
      </c>
    </row>
    <row r="75" spans="6:26" ht="17.25">
      <c r="Z75" s="2">
        <v>75</v>
      </c>
    </row>
    <row r="76" spans="6:26" ht="17.25">
      <c r="Z76" s="2">
        <v>76</v>
      </c>
    </row>
    <row r="77" spans="6:26" ht="17.25">
      <c r="Z77" s="2">
        <v>77</v>
      </c>
    </row>
    <row r="78" spans="6:26" ht="17.25">
      <c r="Z78" s="2">
        <v>78</v>
      </c>
    </row>
    <row r="79" spans="6:26" ht="17.25">
      <c r="Z79" s="2">
        <v>79</v>
      </c>
    </row>
    <row r="80" spans="6:26" ht="17.25">
      <c r="Z80" s="2">
        <v>80</v>
      </c>
    </row>
    <row r="81" spans="26:26" ht="17.25">
      <c r="Z81" s="2">
        <v>81</v>
      </c>
    </row>
    <row r="82" spans="26:26" ht="17.25">
      <c r="Z82" s="2">
        <v>82</v>
      </c>
    </row>
    <row r="83" spans="26:26" ht="17.25">
      <c r="Z83" s="2">
        <v>83</v>
      </c>
    </row>
    <row r="84" spans="26:26" ht="17.25">
      <c r="Z84" s="2">
        <v>84</v>
      </c>
    </row>
    <row r="85" spans="26:26" ht="17.25">
      <c r="Z85" s="2">
        <v>85</v>
      </c>
    </row>
    <row r="86" spans="26:26" ht="17.25">
      <c r="Z86" s="2">
        <v>86</v>
      </c>
    </row>
    <row r="87" spans="26:26" ht="17.25">
      <c r="Z87" s="2">
        <v>87</v>
      </c>
    </row>
    <row r="88" spans="26:26" ht="17.25">
      <c r="Z88" s="2">
        <v>88</v>
      </c>
    </row>
  </sheetData>
  <sheetProtection password="C517" sheet="1" objects="1" scenarios="1"/>
  <mergeCells count="7">
    <mergeCell ref="A1:E1"/>
    <mergeCell ref="A29:E29"/>
    <mergeCell ref="A31:E31"/>
    <mergeCell ref="A34:E34"/>
    <mergeCell ref="A32:E32"/>
    <mergeCell ref="B22:E22"/>
    <mergeCell ref="A30:E30"/>
  </mergeCells>
  <phoneticPr fontId="12" type="noConversion"/>
  <dataValidations count="8">
    <dataValidation type="list" allowBlank="1" showInputMessage="1" sqref="D5">
      <formula1>$H$3:$H$18</formula1>
    </dataValidation>
    <dataValidation type="list" allowBlank="1" showInputMessage="1" sqref="D7">
      <formula1>$H$19:$H$21</formula1>
    </dataValidation>
    <dataValidation type="list" allowBlank="1" showInputMessage="1" sqref="D9">
      <formula1>$AB$1:$AB$33</formula1>
    </dataValidation>
    <dataValidation type="list" allowBlank="1" showInputMessage="1" sqref="D11">
      <formula1>$Z$1:$Z$64</formula1>
    </dataValidation>
    <dataValidation type="list" allowBlank="1" showInputMessage="1" sqref="D13">
      <formula1>$Z$1:$Z$64</formula1>
    </dataValidation>
    <dataValidation type="list" allowBlank="1" showInputMessage="1" sqref="D15">
      <formula1>$H$46:$H$53</formula1>
    </dataValidation>
    <dataValidation type="list" allowBlank="1" showInputMessage="1" sqref="D3">
      <formula1>$H$43:$H$45</formula1>
    </dataValidation>
    <dataValidation type="list" allowBlank="1" showInputMessage="1" sqref="D18">
      <formula1>$AC$1:$AC$17</formula1>
    </dataValidation>
  </dataValidations>
  <printOptions verticalCentered="1"/>
  <pageMargins left="0.70866141732283472" right="0.70866141732283472" top="0.74803149606299213" bottom="0.74803149606299213" header="0.31496062992125984" footer="0.31496062992125984"/>
  <pageSetup paperSize="9" scale="96" orientation="portrait" horizontalDpi="300" verticalDpi="300" r:id="rId1"/>
  <headerFooter>
    <oddHeader>&amp;R&amp;"Arial Black,標準"Sec. 2, Minsheng E.Rd.,
 Taipei City 104, Taiwan
    +886.2.2516.6001</oddHeader>
    <oddFooter>&amp;C&amp;"Arial Black,標準"www.gvdigital.com</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9"/>
  <sheetViews>
    <sheetView zoomScaleNormal="100" workbookViewId="0">
      <selection activeCell="C2" sqref="C2"/>
    </sheetView>
  </sheetViews>
  <sheetFormatPr defaultRowHeight="15.75"/>
  <cols>
    <col min="1" max="1" width="13.375" style="101" customWidth="1"/>
    <col min="2" max="2" width="9" style="102"/>
    <col min="3" max="3" width="19.125" style="101" customWidth="1"/>
    <col min="4" max="4" width="14.375" style="101" customWidth="1"/>
    <col min="5" max="5" width="16.5" style="101" customWidth="1"/>
    <col min="6" max="6" width="9" style="101"/>
    <col min="7" max="7" width="39.125" style="103" customWidth="1"/>
    <col min="8" max="8" width="29.75" style="102" customWidth="1"/>
    <col min="9" max="9" width="31.75" style="102" customWidth="1"/>
    <col min="10" max="11" width="9" style="101" customWidth="1"/>
    <col min="12" max="12" width="9" style="101" hidden="1" customWidth="1"/>
    <col min="13" max="13" width="32" hidden="1" customWidth="1"/>
    <col min="14" max="32" width="9" hidden="1" customWidth="1"/>
    <col min="33" max="33" width="4.875" hidden="1" customWidth="1"/>
    <col min="34" max="34" width="9" hidden="1" customWidth="1"/>
    <col min="35" max="35" width="9" customWidth="1"/>
  </cols>
  <sheetData>
    <row r="1" spans="1:34" ht="23.25" thickBot="1">
      <c r="A1" s="204" t="s">
        <v>141</v>
      </c>
      <c r="B1" s="205"/>
      <c r="C1" s="186" t="str">
        <f>'Storage Calculation'!D3</f>
        <v>New Enterprise Models</v>
      </c>
      <c r="D1" s="128"/>
      <c r="E1" s="128"/>
      <c r="F1" s="128"/>
      <c r="G1" s="129"/>
      <c r="H1" s="215"/>
      <c r="I1" s="216"/>
      <c r="L1">
        <f>IF($C$1=$M$30,2.01,IF($C$1=$M$31,1.51,IF($C$1=$M$32,2.01)))</f>
        <v>2.0099999999999998</v>
      </c>
      <c r="M1" s="15"/>
      <c r="N1" s="15"/>
      <c r="O1" s="15"/>
      <c r="P1" s="15"/>
      <c r="Q1" s="15"/>
      <c r="R1" s="15"/>
      <c r="S1" s="15"/>
      <c r="T1" s="15"/>
      <c r="U1" s="15"/>
      <c r="V1" s="15"/>
      <c r="W1" s="15"/>
      <c r="X1" s="15"/>
      <c r="Y1" s="15"/>
      <c r="Z1" s="15"/>
      <c r="AA1" s="15"/>
      <c r="AB1" s="15"/>
      <c r="AC1" s="15"/>
      <c r="AD1" s="15"/>
      <c r="AE1" s="12"/>
      <c r="AF1" s="14" t="s">
        <v>99</v>
      </c>
      <c r="AH1" s="12">
        <v>0</v>
      </c>
    </row>
    <row r="2" spans="1:34" ht="18" thickTop="1">
      <c r="A2" s="130" t="s">
        <v>63</v>
      </c>
      <c r="B2" s="131"/>
      <c r="C2" s="132"/>
      <c r="D2" s="132"/>
      <c r="E2" s="132"/>
      <c r="F2" s="132"/>
      <c r="G2" s="132"/>
      <c r="H2" s="131" t="s">
        <v>64</v>
      </c>
      <c r="I2" s="133" t="s">
        <v>65</v>
      </c>
      <c r="J2" s="104"/>
      <c r="K2" s="104"/>
      <c r="L2">
        <f>IF($C$1=$M$30,2.51,IF($C$1=$M$31,2.01,IF($C$1=$M$32,3.01)))</f>
        <v>2.5099999999999998</v>
      </c>
      <c r="M2" s="28" t="s">
        <v>0</v>
      </c>
      <c r="N2" s="29" t="s">
        <v>1</v>
      </c>
      <c r="O2" s="30"/>
      <c r="P2" s="30"/>
      <c r="Q2" s="30"/>
      <c r="R2" s="30"/>
      <c r="S2" s="30"/>
      <c r="T2" s="30"/>
      <c r="U2" s="30"/>
      <c r="V2" s="30"/>
      <c r="W2" s="30"/>
      <c r="X2" s="30"/>
      <c r="Y2" s="31"/>
      <c r="Z2" s="31"/>
      <c r="AA2" s="31"/>
      <c r="AB2" s="32"/>
      <c r="AC2" s="32"/>
      <c r="AD2" s="32"/>
      <c r="AE2" s="12">
        <v>1</v>
      </c>
      <c r="AF2" s="14" t="s">
        <v>100</v>
      </c>
      <c r="AG2" s="12">
        <v>1</v>
      </c>
      <c r="AH2" s="12">
        <v>1</v>
      </c>
    </row>
    <row r="3" spans="1:34" ht="20.25">
      <c r="A3" s="134">
        <v>1</v>
      </c>
      <c r="B3" s="135"/>
      <c r="C3" s="136" t="str">
        <f>'Storage Calculation'!D5</f>
        <v>VGA (640x480)</v>
      </c>
      <c r="D3" s="137" t="str">
        <f>'Storage Calculation'!D7</f>
        <v>H.264</v>
      </c>
      <c r="E3" s="138">
        <f>'Storage Calculation'!D9</f>
        <v>5</v>
      </c>
      <c r="F3" s="182">
        <f>'Storage Calculation'!D18</f>
        <v>0</v>
      </c>
      <c r="G3" s="139" t="s">
        <v>66</v>
      </c>
      <c r="H3" s="140">
        <f>SUM(B6+B19+B32+B45+B58)</f>
        <v>40</v>
      </c>
      <c r="I3" s="141">
        <f>H3</f>
        <v>40</v>
      </c>
      <c r="J3" s="103"/>
      <c r="K3" s="103"/>
      <c r="L3">
        <f>IF($C$1=$M$30,4.01,IF($C$1=$M$31,3.01,IF($C$1=$M$32,4.01)))</f>
        <v>4.01</v>
      </c>
      <c r="M3" s="16" t="s">
        <v>57</v>
      </c>
      <c r="N3" s="33" t="s">
        <v>3</v>
      </c>
      <c r="O3" s="34" t="s">
        <v>102</v>
      </c>
      <c r="P3" s="34" t="s">
        <v>103</v>
      </c>
      <c r="Q3" s="34" t="s">
        <v>104</v>
      </c>
      <c r="R3" s="34" t="s">
        <v>105</v>
      </c>
      <c r="S3" s="34" t="s">
        <v>106</v>
      </c>
      <c r="T3" s="34" t="s">
        <v>119</v>
      </c>
      <c r="U3" s="34" t="s">
        <v>113</v>
      </c>
      <c r="V3" s="34" t="s">
        <v>107</v>
      </c>
      <c r="W3" s="34" t="s">
        <v>4</v>
      </c>
      <c r="X3" s="34" t="s">
        <v>151</v>
      </c>
      <c r="Y3" s="34" t="s">
        <v>5</v>
      </c>
      <c r="Z3" s="34" t="s">
        <v>6</v>
      </c>
      <c r="AA3" s="34" t="s">
        <v>8</v>
      </c>
      <c r="AB3" s="35" t="s">
        <v>9</v>
      </c>
      <c r="AC3" s="35" t="s">
        <v>152</v>
      </c>
      <c r="AD3" s="35" t="s">
        <v>154</v>
      </c>
      <c r="AE3" s="12">
        <v>2</v>
      </c>
      <c r="AF3" s="12"/>
      <c r="AG3" s="12">
        <v>2</v>
      </c>
      <c r="AH3" s="12">
        <v>1.5</v>
      </c>
    </row>
    <row r="4" spans="1:34" ht="17.25">
      <c r="A4" s="142"/>
      <c r="B4" s="143"/>
      <c r="C4" s="212" t="s">
        <v>67</v>
      </c>
      <c r="D4" s="213"/>
      <c r="E4" s="214"/>
      <c r="F4" s="144">
        <f>IF(F3&lt;&gt;0,F3,IF(D3=M19,SUM(O32:AD32)*E3*8/1000,IF(D3=M20,((SUM(O32:AD32)*(E3*2-1)*8/1000/5+SUM(O32:AD32)*8/1000)/2)*5/6,IF(D3=M21,(SUM(O32:AD32)*(E3*2-1)*8/1000/5+SUM(O32:AD32)*8/1000)/2,"error"))))</f>
        <v>0.38266666666666671</v>
      </c>
      <c r="G4" s="139" t="s">
        <v>146</v>
      </c>
      <c r="H4" s="140">
        <f>SUM(F14+F27+F40+F53+F66)</f>
        <v>18</v>
      </c>
      <c r="I4" s="141">
        <f>IF(H4&lt;2,H4+2,IF(H4&lt;=15,H4+1,IF(AND(H4&gt;12,H4&lt;65),H4+SUM(Data!B45:F45),"HDD More Than 64")))</f>
        <v>20</v>
      </c>
      <c r="L4">
        <f>IF($C$1=$M$30,5.01,IF($C$1=$M$31,4.01,IF($C$1=$M$32,6.01)))</f>
        <v>5.01</v>
      </c>
      <c r="M4" s="16" t="s">
        <v>58</v>
      </c>
      <c r="N4" s="17" t="s">
        <v>11</v>
      </c>
      <c r="O4" s="37"/>
      <c r="P4" s="37"/>
      <c r="Q4" s="37"/>
      <c r="R4" s="37">
        <v>128</v>
      </c>
      <c r="S4" s="37"/>
      <c r="T4" s="37"/>
      <c r="U4" s="37"/>
      <c r="V4" s="37">
        <v>100</v>
      </c>
      <c r="W4" s="37">
        <v>128</v>
      </c>
      <c r="X4" s="37"/>
      <c r="Y4" s="38"/>
      <c r="Z4" s="37">
        <v>202</v>
      </c>
      <c r="AA4" s="39">
        <v>299</v>
      </c>
      <c r="AB4" s="40">
        <v>512</v>
      </c>
      <c r="AC4" s="40"/>
      <c r="AD4" s="40"/>
      <c r="AE4" s="12">
        <v>3</v>
      </c>
      <c r="AF4" s="12"/>
      <c r="AG4" s="12">
        <v>3</v>
      </c>
      <c r="AH4" s="12">
        <v>2</v>
      </c>
    </row>
    <row r="5" spans="1:34" ht="17.25">
      <c r="A5" s="142"/>
      <c r="B5" s="145"/>
      <c r="C5" s="206" t="s">
        <v>68</v>
      </c>
      <c r="D5" s="207"/>
      <c r="E5" s="208"/>
      <c r="F5" s="144">
        <f>ROUNDUP(F4*60*60*$H$6*($H$7/100)/1000/8*1.1,2)</f>
        <v>4.55</v>
      </c>
      <c r="G5" s="139" t="s">
        <v>165</v>
      </c>
      <c r="H5" s="146" t="str">
        <f>'Storage Calculation'!D15</f>
        <v>(Seagate 2TB) ST32000644NS</v>
      </c>
      <c r="I5" s="147" t="str">
        <f>H5</f>
        <v>(Seagate 2TB) ST32000644NS</v>
      </c>
      <c r="J5" s="103"/>
      <c r="L5">
        <f>IF($C$1=$M$30,8.01,IF($C$1=$M$31,12.01,IF($C$1=$M$32,12.01)))</f>
        <v>8.01</v>
      </c>
      <c r="M5" s="16" t="s">
        <v>59</v>
      </c>
      <c r="N5" s="17" t="s">
        <v>13</v>
      </c>
      <c r="O5" s="18">
        <v>17</v>
      </c>
      <c r="P5" s="18">
        <v>22</v>
      </c>
      <c r="Q5" s="18">
        <v>43</v>
      </c>
      <c r="R5" s="18">
        <v>41</v>
      </c>
      <c r="S5" s="18">
        <v>44</v>
      </c>
      <c r="T5" s="18">
        <v>64</v>
      </c>
      <c r="U5" s="18">
        <v>118</v>
      </c>
      <c r="V5" s="18">
        <v>139</v>
      </c>
      <c r="W5" s="18">
        <v>176</v>
      </c>
      <c r="X5" s="18">
        <v>182</v>
      </c>
      <c r="Y5" s="19">
        <v>215</v>
      </c>
      <c r="Z5" s="18">
        <v>278</v>
      </c>
      <c r="AA5" s="41">
        <v>411</v>
      </c>
      <c r="AB5" s="42">
        <v>704</v>
      </c>
      <c r="AC5" s="42">
        <v>1070</v>
      </c>
      <c r="AD5" s="42">
        <v>1644</v>
      </c>
      <c r="AE5" s="12">
        <v>4</v>
      </c>
      <c r="AF5" s="12"/>
      <c r="AG5" s="12">
        <v>4</v>
      </c>
      <c r="AH5" s="12">
        <v>2.5</v>
      </c>
    </row>
    <row r="6" spans="1:34" ht="17.25">
      <c r="A6" s="148" t="s">
        <v>69</v>
      </c>
      <c r="B6" s="149">
        <f>'Storage Calculation'!D13</f>
        <v>40</v>
      </c>
      <c r="C6" s="206" t="s">
        <v>70</v>
      </c>
      <c r="D6" s="207"/>
      <c r="E6" s="208"/>
      <c r="F6" s="144">
        <f>F5*$B6</f>
        <v>182</v>
      </c>
      <c r="G6" s="139" t="s">
        <v>71</v>
      </c>
      <c r="H6" s="150">
        <v>24</v>
      </c>
      <c r="I6" s="151">
        <f>H6</f>
        <v>24</v>
      </c>
      <c r="L6">
        <f>IF($C$1=$M$30,12.01,IF($C$1=$M$31,24.01,IF($C$1=$M$32,24.01)))</f>
        <v>12.01</v>
      </c>
      <c r="M6" s="16" t="s">
        <v>60</v>
      </c>
      <c r="N6" s="43" t="s">
        <v>14</v>
      </c>
      <c r="O6" s="44"/>
      <c r="P6" s="44"/>
      <c r="Q6" s="44"/>
      <c r="R6" s="44">
        <v>293</v>
      </c>
      <c r="S6" s="44"/>
      <c r="T6" s="44"/>
      <c r="U6" s="44"/>
      <c r="V6" s="44">
        <v>227</v>
      </c>
      <c r="W6" s="44">
        <v>293</v>
      </c>
      <c r="X6" s="44"/>
      <c r="Y6" s="45"/>
      <c r="Z6" s="44">
        <v>463</v>
      </c>
      <c r="AA6" s="46">
        <v>685</v>
      </c>
      <c r="AB6" s="47">
        <v>1172</v>
      </c>
      <c r="AC6" s="47"/>
      <c r="AD6" s="47"/>
      <c r="AE6" s="12">
        <v>5</v>
      </c>
      <c r="AF6" s="12"/>
      <c r="AG6" s="12">
        <v>5</v>
      </c>
      <c r="AH6" s="12">
        <v>3</v>
      </c>
    </row>
    <row r="7" spans="1:34" ht="17.25">
      <c r="A7" s="142"/>
      <c r="B7" s="145"/>
      <c r="C7" s="206" t="s">
        <v>72</v>
      </c>
      <c r="D7" s="207"/>
      <c r="E7" s="208"/>
      <c r="F7" s="144">
        <f>IF(B6=0,1,SUM(ROUNDUP(B6/F8,0)))</f>
        <v>20</v>
      </c>
      <c r="G7" s="139" t="s">
        <v>73</v>
      </c>
      <c r="H7" s="152">
        <v>100</v>
      </c>
      <c r="I7" s="153">
        <f>H7</f>
        <v>100</v>
      </c>
      <c r="L7" s="101">
        <f>IF($C$1=$M$30,18.01,IF($C$1=$M$31,24.01,IF($C$1=$M$32,24.01)))</f>
        <v>18.010000000000002</v>
      </c>
      <c r="M7" s="16" t="s">
        <v>53</v>
      </c>
      <c r="N7" s="48"/>
      <c r="O7" s="49"/>
      <c r="P7" s="49"/>
      <c r="Q7" s="49"/>
      <c r="R7" s="49"/>
      <c r="S7" s="49"/>
      <c r="T7" s="49"/>
      <c r="U7" s="49"/>
      <c r="V7" s="49"/>
      <c r="W7" s="49"/>
      <c r="X7" s="49"/>
      <c r="Y7" s="49"/>
      <c r="Z7" s="48"/>
      <c r="AA7" s="50"/>
      <c r="AB7" s="51"/>
      <c r="AC7" s="51"/>
      <c r="AD7" s="51"/>
      <c r="AE7" s="12">
        <v>6</v>
      </c>
      <c r="AF7" s="12"/>
      <c r="AG7" s="12">
        <v>5.5</v>
      </c>
      <c r="AH7" s="12">
        <v>4</v>
      </c>
    </row>
    <row r="8" spans="1:34" ht="17.25">
      <c r="A8" s="142"/>
      <c r="B8" s="145"/>
      <c r="C8" s="206" t="s">
        <v>74</v>
      </c>
      <c r="D8" s="207"/>
      <c r="E8" s="208"/>
      <c r="F8" s="144">
        <f>IF(F4&lt;L1,ROUNDUP(B6/L11,0),IF(F4&lt;L2,ROUNDUP(B6/L12,0),IF(F4&lt;L3,ROUNDUP(B6/L13,0),IF(F4&lt;L4,ROUNDUP(B6/L14,0),IF(F4&lt;L5,ROUNDUP(B6/L15,0),IF(F4&lt;L6,ROUNDUP(B6/L16,0),IF(F4&lt;L7,ROUNDUP(B6/L17,0),IF(F4&lt;L8,ROUNDUP(B6/L18,0)," "))))))))</f>
        <v>2</v>
      </c>
      <c r="G8" s="139" t="s">
        <v>142</v>
      </c>
      <c r="H8" s="154" t="str">
        <f>Data!F8&amp;Data!G8&amp;Data!H8&amp;Data!I8&amp;Data!J8&amp;Data!K8&amp;Data!L8&amp;Data!X8</f>
        <v>No Supported NVR Model</v>
      </c>
      <c r="I8" s="155" t="str">
        <f>Data!F19&amp;Data!K19&amp;Data!M19</f>
        <v>No Supported NVR Model</v>
      </c>
      <c r="L8" s="101">
        <f>IF($C$1=$M$30,25.01,IF($C$1=$M$31,24.01,IF($C$1=$M$32,24.01)))</f>
        <v>25.01</v>
      </c>
      <c r="M8" s="16" t="s">
        <v>120</v>
      </c>
      <c r="N8" s="33" t="s">
        <v>3</v>
      </c>
      <c r="O8" s="34" t="s">
        <v>102</v>
      </c>
      <c r="P8" s="34" t="s">
        <v>103</v>
      </c>
      <c r="Q8" s="34" t="s">
        <v>104</v>
      </c>
      <c r="R8" s="34" t="s">
        <v>105</v>
      </c>
      <c r="S8" s="34" t="s">
        <v>106</v>
      </c>
      <c r="T8" s="34" t="s">
        <v>119</v>
      </c>
      <c r="U8" s="34" t="s">
        <v>113</v>
      </c>
      <c r="V8" s="34" t="s">
        <v>107</v>
      </c>
      <c r="W8" s="34" t="s">
        <v>4</v>
      </c>
      <c r="X8" s="34" t="s">
        <v>151</v>
      </c>
      <c r="Y8" s="34" t="s">
        <v>5</v>
      </c>
      <c r="Z8" s="34" t="s">
        <v>6</v>
      </c>
      <c r="AA8" s="34" t="s">
        <v>8</v>
      </c>
      <c r="AB8" s="35" t="s">
        <v>9</v>
      </c>
      <c r="AC8" s="35" t="s">
        <v>152</v>
      </c>
      <c r="AD8" s="35" t="s">
        <v>154</v>
      </c>
      <c r="AE8" s="12">
        <v>7</v>
      </c>
      <c r="AF8" s="94"/>
      <c r="AG8" s="12">
        <v>6</v>
      </c>
      <c r="AH8" s="12">
        <v>3</v>
      </c>
    </row>
    <row r="9" spans="1:34" ht="18.75" customHeight="1">
      <c r="A9" s="142"/>
      <c r="B9" s="146">
        <f>'Storage Calculation'!D11</f>
        <v>180</v>
      </c>
      <c r="C9" s="206" t="s">
        <v>75</v>
      </c>
      <c r="D9" s="207"/>
      <c r="E9" s="208"/>
      <c r="F9" s="144">
        <f>IF(F7&gt;B6,F5*B6*$B9,F5*F7*$B9)</f>
        <v>16380</v>
      </c>
      <c r="G9" s="139" t="s">
        <v>129</v>
      </c>
      <c r="H9" s="154" t="str">
        <f>IF(AND(H4&lt;=64,I3&lt;129),IF($C$1=$M$30,Data!B8&amp;Data!C8&amp;Data!D8&amp;Data!E8&amp;Data!B29&amp;Data!C29,IF($C$1=$M$31,Data!B8&amp;Data!C8&amp;Data!D8&amp;Data!E8&amp;Data!B29&amp;Data!C29,IF($C$1=$M$32,Data!M8&amp;Data!N8&amp;Data!O8&amp;Data!P8&amp;Data!Q8&amp;Data!R8&amp;Data!S8&amp;Data!W8&amp;Data!Y8&amp;Data!Z8))),"Add NVR")</f>
        <v>M630-C048-JB</v>
      </c>
      <c r="I9" s="155" t="str">
        <f>IF(AND(H4+3&lt;=64,H4&lt;=61,I3&lt;129),IF($C$1=$M$30,Data!G29&amp;Data!H19&amp;Data!I19&amp;Data!J19,IF($C$1=$M$31,Data!B19&amp;Data!C19&amp;Data!D19&amp;Data!E19,IF($C$1=$M$32,Data!G19&amp;Data!F29))),"Add NVR")</f>
        <v>M635-C064-JB</v>
      </c>
      <c r="M9" s="16" t="s">
        <v>112</v>
      </c>
      <c r="N9" s="17" t="s">
        <v>11</v>
      </c>
      <c r="O9" s="37"/>
      <c r="P9" s="37"/>
      <c r="Q9" s="37"/>
      <c r="R9" s="37">
        <v>128</v>
      </c>
      <c r="S9" s="37"/>
      <c r="T9" s="37"/>
      <c r="U9" s="37"/>
      <c r="V9" s="37">
        <v>100</v>
      </c>
      <c r="W9" s="37">
        <v>128</v>
      </c>
      <c r="X9" s="37"/>
      <c r="Y9" s="38"/>
      <c r="Z9" s="37">
        <v>202</v>
      </c>
      <c r="AA9" s="39">
        <v>299</v>
      </c>
      <c r="AB9" s="40">
        <v>512</v>
      </c>
      <c r="AC9" s="40"/>
      <c r="AD9" s="40"/>
      <c r="AE9" s="12">
        <v>8</v>
      </c>
      <c r="AF9" s="94"/>
      <c r="AG9" s="12">
        <v>7</v>
      </c>
      <c r="AH9" s="12">
        <v>4</v>
      </c>
    </row>
    <row r="10" spans="1:34" ht="17.25">
      <c r="A10" s="142"/>
      <c r="B10" s="145"/>
      <c r="C10" s="206" t="s">
        <v>76</v>
      </c>
      <c r="D10" s="207"/>
      <c r="E10" s="208"/>
      <c r="F10" s="144">
        <f>ROUNDUP(F9/$M$54,0)</f>
        <v>9</v>
      </c>
      <c r="G10" s="139" t="s">
        <v>121</v>
      </c>
      <c r="H10" s="154" t="str">
        <f>Data!B36&amp;Data!C36&amp;Data!D36&amp;Data!E36&amp;Data!F36&amp;Data!H36&amp;Data!B37&amp;Data!C37&amp;Data!D37&amp;Data!E37&amp;Data!F37</f>
        <v>M830 x 1</v>
      </c>
      <c r="I10" s="155" t="str">
        <f>Data!B43&amp;Data!C43&amp;Data!D43&amp;Data!E43&amp;Data!F43&amp;Data!H43&amp;Data!B44&amp;Data!C44&amp;Data!D44&amp;Data!E44&amp;Data!F44</f>
        <v>M830 x 1</v>
      </c>
      <c r="M10" s="16" t="s">
        <v>41</v>
      </c>
      <c r="N10" s="17" t="s">
        <v>13</v>
      </c>
      <c r="O10" s="18">
        <v>17</v>
      </c>
      <c r="P10" s="18">
        <v>22</v>
      </c>
      <c r="Q10" s="18">
        <v>43</v>
      </c>
      <c r="R10" s="18">
        <v>41</v>
      </c>
      <c r="S10" s="18">
        <v>44</v>
      </c>
      <c r="T10" s="18">
        <v>64</v>
      </c>
      <c r="U10" s="18">
        <v>118</v>
      </c>
      <c r="V10" s="18">
        <v>139</v>
      </c>
      <c r="W10" s="18">
        <v>176</v>
      </c>
      <c r="X10" s="18">
        <v>182</v>
      </c>
      <c r="Y10" s="19">
        <v>215</v>
      </c>
      <c r="Z10" s="18">
        <v>278</v>
      </c>
      <c r="AA10" s="41">
        <v>411</v>
      </c>
      <c r="AB10" s="42">
        <v>704</v>
      </c>
      <c r="AC10" s="42">
        <v>1070</v>
      </c>
      <c r="AD10" s="42">
        <v>1644</v>
      </c>
      <c r="AE10" s="12">
        <v>9</v>
      </c>
      <c r="AF10" s="94"/>
      <c r="AG10" s="12">
        <v>8</v>
      </c>
      <c r="AH10" s="12">
        <v>5</v>
      </c>
    </row>
    <row r="11" spans="1:34" ht="17.25">
      <c r="A11" s="142"/>
      <c r="B11" s="145"/>
      <c r="C11" s="206" t="s">
        <v>77</v>
      </c>
      <c r="D11" s="207"/>
      <c r="E11" s="208"/>
      <c r="F11" s="144">
        <f>IF(F8&gt;1,B6-(F8-1)*F7,0)</f>
        <v>20</v>
      </c>
      <c r="G11" s="139" t="s">
        <v>133</v>
      </c>
      <c r="H11" s="156"/>
      <c r="I11" s="155">
        <f>IF(H4&lt;16,1,SUM(Data!B45:F45))</f>
        <v>2</v>
      </c>
      <c r="L11">
        <f>IF($C$1=$M$30,32,IF($C$1=$M$31,8,IF($C$1=$M$32,8)))</f>
        <v>32</v>
      </c>
      <c r="M11" s="16" t="s">
        <v>10</v>
      </c>
      <c r="N11" s="43" t="s">
        <v>14</v>
      </c>
      <c r="O11" s="44"/>
      <c r="P11" s="44"/>
      <c r="Q11" s="44"/>
      <c r="R11" s="44">
        <v>293</v>
      </c>
      <c r="S11" s="44"/>
      <c r="T11" s="44"/>
      <c r="U11" s="44"/>
      <c r="V11" s="44">
        <v>227</v>
      </c>
      <c r="W11" s="44">
        <v>293</v>
      </c>
      <c r="X11" s="44"/>
      <c r="Y11" s="45"/>
      <c r="Z11" s="44">
        <v>463</v>
      </c>
      <c r="AA11" s="46">
        <v>685</v>
      </c>
      <c r="AB11" s="47">
        <v>1172</v>
      </c>
      <c r="AC11" s="47"/>
      <c r="AD11" s="47"/>
      <c r="AE11" s="12">
        <v>10</v>
      </c>
      <c r="AF11" s="94"/>
      <c r="AG11" s="12">
        <v>9</v>
      </c>
      <c r="AH11" s="12">
        <v>6</v>
      </c>
    </row>
    <row r="12" spans="1:34" ht="17.25">
      <c r="A12" s="142"/>
      <c r="B12" s="157">
        <f>B9</f>
        <v>180</v>
      </c>
      <c r="C12" s="206" t="s">
        <v>78</v>
      </c>
      <c r="D12" s="207"/>
      <c r="E12" s="208"/>
      <c r="F12" s="144">
        <f>F5*F11*$B12</f>
        <v>16380</v>
      </c>
      <c r="G12" s="158" t="str">
        <f>IF(SUM(F8+F21+F34+F47+F60)&gt;5,IF($C$1=$M$31,"Standalone NVR cannot has more than 5 Storage Volumes, Please reduce total camera quantity!!",IF($C$1=$M$30,IF(SUM(F8+F21+F34+F47+F60)&gt;16,"Enterprise NVR cannot has more than 16 Storage Volumes, Please reduce total camera quantity!!",""),"")),"")</f>
        <v/>
      </c>
      <c r="H12" s="156"/>
      <c r="I12" s="133"/>
      <c r="L12">
        <f>IF($C$1=$M$30,24,IF($C$1=$M$31,7,IF($C$1=$M$32,7)))</f>
        <v>24</v>
      </c>
      <c r="M12" s="16" t="s">
        <v>149</v>
      </c>
      <c r="N12" s="48"/>
      <c r="O12" s="49"/>
      <c r="P12" s="49"/>
      <c r="Q12" s="49"/>
      <c r="R12" s="49"/>
      <c r="S12" s="49"/>
      <c r="T12" s="49"/>
      <c r="U12" s="49"/>
      <c r="V12" s="49"/>
      <c r="W12" s="49"/>
      <c r="X12" s="49"/>
      <c r="Y12" s="49"/>
      <c r="Z12" s="48"/>
      <c r="AA12" s="50"/>
      <c r="AB12" s="51"/>
      <c r="AC12" s="51"/>
      <c r="AD12" s="51"/>
      <c r="AE12" s="12">
        <v>11</v>
      </c>
      <c r="AF12" s="94"/>
      <c r="AG12" s="12">
        <v>10</v>
      </c>
      <c r="AH12" s="12">
        <v>7</v>
      </c>
    </row>
    <row r="13" spans="1:34" ht="17.25">
      <c r="A13" s="142"/>
      <c r="B13" s="145"/>
      <c r="C13" s="206" t="s">
        <v>79</v>
      </c>
      <c r="D13" s="207"/>
      <c r="E13" s="208"/>
      <c r="F13" s="144">
        <f>IF(F11&gt;0,ROUNDUP(F12/$M$54,0),0)</f>
        <v>9</v>
      </c>
      <c r="G13" s="158" t="str">
        <f>IF($C$1=$M$31,IF($C$3=$M$15,"Standalone NVR models cannot local display more than 3MP camera except M350!!",IF($C$3=$M$16,"Standalone NVR models cannot local display more than 3MP camera except M350!!"," ")),"")</f>
        <v/>
      </c>
      <c r="H13" s="159"/>
      <c r="I13" s="160"/>
      <c r="L13">
        <f>IF($C$1=$M$30,16,IF($C$1=$M$31,6,IF($C$1=$M$32,6)))</f>
        <v>16</v>
      </c>
      <c r="M13" s="16" t="s">
        <v>150</v>
      </c>
      <c r="N13" s="33" t="s">
        <v>3</v>
      </c>
      <c r="O13" s="34" t="s">
        <v>102</v>
      </c>
      <c r="P13" s="34" t="s">
        <v>103</v>
      </c>
      <c r="Q13" s="34" t="s">
        <v>104</v>
      </c>
      <c r="R13" s="34" t="s">
        <v>105</v>
      </c>
      <c r="S13" s="34" t="s">
        <v>106</v>
      </c>
      <c r="T13" s="34" t="s">
        <v>119</v>
      </c>
      <c r="U13" s="34" t="s">
        <v>113</v>
      </c>
      <c r="V13" s="34" t="s">
        <v>107</v>
      </c>
      <c r="W13" s="34" t="s">
        <v>4</v>
      </c>
      <c r="X13" s="34" t="s">
        <v>151</v>
      </c>
      <c r="Y13" s="34" t="s">
        <v>5</v>
      </c>
      <c r="Z13" s="34" t="s">
        <v>6</v>
      </c>
      <c r="AA13" s="34" t="s">
        <v>8</v>
      </c>
      <c r="AB13" s="35" t="s">
        <v>9</v>
      </c>
      <c r="AC13" s="35" t="s">
        <v>152</v>
      </c>
      <c r="AD13" s="35" t="s">
        <v>154</v>
      </c>
      <c r="AE13" s="12">
        <v>12</v>
      </c>
      <c r="AF13" s="94"/>
      <c r="AG13" s="12">
        <v>11</v>
      </c>
      <c r="AH13" s="12">
        <v>8</v>
      </c>
    </row>
    <row r="14" spans="1:34" ht="17.25">
      <c r="A14" s="148"/>
      <c r="B14" s="143"/>
      <c r="C14" s="209" t="s">
        <v>80</v>
      </c>
      <c r="D14" s="210"/>
      <c r="E14" s="211"/>
      <c r="F14" s="161">
        <f>IF(F8&gt;1,F10*(F8-1)+F13,F10)</f>
        <v>18</v>
      </c>
      <c r="G14" s="158" t="str">
        <f>IF(H4&gt;5,IF($C$1=$M$31,"Standalone NVR Models cannot support more than 5 HDDs for recording!!",IF($C$1=$M$30,IF(H4&gt;88,"Enterprise NVR Models cannot support more than 88 HDDs for recording!!",""),"")),"")</f>
        <v/>
      </c>
      <c r="H14" s="159"/>
      <c r="I14" s="160"/>
      <c r="J14" s="103"/>
      <c r="K14" s="103"/>
      <c r="L14">
        <f>IF($C$1=$M$30,12,IF($C$1=$M$31,3,IF($C$1=$M$32,3)))</f>
        <v>12</v>
      </c>
      <c r="M14" s="16" t="s">
        <v>148</v>
      </c>
      <c r="N14" s="17" t="s">
        <v>11</v>
      </c>
      <c r="O14" s="37"/>
      <c r="P14" s="37"/>
      <c r="Q14" s="37"/>
      <c r="R14" s="37">
        <v>128</v>
      </c>
      <c r="S14" s="37"/>
      <c r="T14" s="37"/>
      <c r="U14" s="37"/>
      <c r="V14" s="37">
        <v>100</v>
      </c>
      <c r="W14" s="37">
        <v>128</v>
      </c>
      <c r="X14" s="37"/>
      <c r="Y14" s="38"/>
      <c r="Z14" s="37">
        <v>202</v>
      </c>
      <c r="AA14" s="39">
        <v>299</v>
      </c>
      <c r="AB14" s="40">
        <v>512</v>
      </c>
      <c r="AC14" s="40"/>
      <c r="AD14" s="40"/>
      <c r="AE14" s="12">
        <v>13</v>
      </c>
      <c r="AF14" s="94"/>
      <c r="AG14" s="12">
        <v>12</v>
      </c>
      <c r="AH14" s="12">
        <v>9</v>
      </c>
    </row>
    <row r="15" spans="1:34" ht="17.25">
      <c r="A15" s="162"/>
      <c r="B15" s="159"/>
      <c r="C15" s="139"/>
      <c r="D15" s="139"/>
      <c r="E15" s="139"/>
      <c r="F15" s="139"/>
      <c r="G15" s="158" t="str">
        <f>IF(AND($C$1=$M$31,I3&gt;40),"M6X0 series NVR cannot support more than 40 camera channels when the storage settings as RAID-5!!",IF(AND($C$1=$M$30,I3&gt;128),"M6X5 series NVR cannot support more than 128 camera channels when the storage settings as RAID-5!!",IF(AND($C$1=$M$32,I3&gt;32),"Standalone series NVR cannot support more than 32 camera channels when the storage settings as RAID-5!!","")))</f>
        <v/>
      </c>
      <c r="H15" s="163"/>
      <c r="I15" s="164"/>
      <c r="J15" s="105"/>
      <c r="K15" s="105"/>
      <c r="L15">
        <f>IF($C$1=$M$30,8,IF($C$1=$M$31,2,IF($C$1=$M$32,2)))</f>
        <v>8</v>
      </c>
      <c r="M15" s="16" t="s">
        <v>19</v>
      </c>
      <c r="N15" s="17" t="s">
        <v>13</v>
      </c>
      <c r="O15" s="18">
        <v>17</v>
      </c>
      <c r="P15" s="18">
        <v>22</v>
      </c>
      <c r="Q15" s="18">
        <v>43</v>
      </c>
      <c r="R15" s="18">
        <v>41</v>
      </c>
      <c r="S15" s="18">
        <v>44</v>
      </c>
      <c r="T15" s="18">
        <v>64</v>
      </c>
      <c r="U15" s="18">
        <v>118</v>
      </c>
      <c r="V15" s="18">
        <v>139</v>
      </c>
      <c r="W15" s="18">
        <v>176</v>
      </c>
      <c r="X15" s="18">
        <v>182</v>
      </c>
      <c r="Y15" s="19">
        <v>215</v>
      </c>
      <c r="Z15" s="18">
        <v>278</v>
      </c>
      <c r="AA15" s="41">
        <v>411</v>
      </c>
      <c r="AB15" s="42">
        <v>704</v>
      </c>
      <c r="AC15" s="42">
        <v>1070</v>
      </c>
      <c r="AD15" s="42">
        <v>1644</v>
      </c>
      <c r="AE15" s="12">
        <v>14</v>
      </c>
      <c r="AF15" s="94"/>
      <c r="AG15" s="12">
        <v>13</v>
      </c>
      <c r="AH15" s="12">
        <v>10</v>
      </c>
    </row>
    <row r="16" spans="1:34" ht="20.25" customHeight="1">
      <c r="A16" s="134">
        <v>2</v>
      </c>
      <c r="B16" s="135"/>
      <c r="C16" s="136" t="s">
        <v>101</v>
      </c>
      <c r="D16" s="137" t="s">
        <v>62</v>
      </c>
      <c r="E16" s="138">
        <v>30</v>
      </c>
      <c r="F16" s="182">
        <v>0</v>
      </c>
      <c r="G16" s="201" t="s">
        <v>168</v>
      </c>
      <c r="H16" s="202"/>
      <c r="I16" s="203"/>
      <c r="L16">
        <f>IF($C$1=$M$30,6,IF($C$1=$M$31,1,IF($C$1=$M$32,1)))</f>
        <v>6</v>
      </c>
      <c r="M16" s="16" t="s">
        <v>2</v>
      </c>
      <c r="N16" s="43" t="s">
        <v>14</v>
      </c>
      <c r="O16" s="44"/>
      <c r="P16" s="44"/>
      <c r="Q16" s="44"/>
      <c r="R16" s="44">
        <v>293</v>
      </c>
      <c r="S16" s="44"/>
      <c r="T16" s="44"/>
      <c r="U16" s="44"/>
      <c r="V16" s="44">
        <v>227</v>
      </c>
      <c r="W16" s="44">
        <v>293</v>
      </c>
      <c r="X16" s="44"/>
      <c r="Y16" s="45"/>
      <c r="Z16" s="44">
        <v>463</v>
      </c>
      <c r="AA16" s="46">
        <v>685</v>
      </c>
      <c r="AB16" s="47">
        <v>1172</v>
      </c>
      <c r="AC16" s="47"/>
      <c r="AD16" s="47"/>
      <c r="AE16" s="12">
        <v>15</v>
      </c>
      <c r="AF16" s="15"/>
      <c r="AG16" s="12">
        <v>14</v>
      </c>
      <c r="AH16" s="12">
        <v>11</v>
      </c>
    </row>
    <row r="17" spans="1:34" ht="17.25">
      <c r="A17" s="142"/>
      <c r="B17" s="143"/>
      <c r="C17" s="212" t="s">
        <v>67</v>
      </c>
      <c r="D17" s="213"/>
      <c r="E17" s="214"/>
      <c r="F17" s="144">
        <f>IF(F16&lt;&gt;0,F16,IF(D16=M19,SUM(O37:AD37)*E16*8/1000,IF(D16=M20,((SUM(O37:AD37)*(E16*2-1)*8/1000/5+SUM(O37:AD37)*8/1000)/2)*5/6,IF(D16=M21,(SUM(O37:AD37)*(E16*2-1)*8/1000/5+SUM(O37:AD37)*8/1000)/2,"error"))))</f>
        <v>5.9306666666666672</v>
      </c>
      <c r="G17" s="201"/>
      <c r="H17" s="202"/>
      <c r="I17" s="203"/>
      <c r="L17">
        <f>IF($C$1=$M$30,4,IF($C$1=$M$31,1,IF($C$1=$M$32,1)))</f>
        <v>4</v>
      </c>
      <c r="M17" s="16" t="s">
        <v>147</v>
      </c>
      <c r="N17" s="48"/>
      <c r="O17" s="49"/>
      <c r="P17" s="49"/>
      <c r="Q17" s="49"/>
      <c r="R17" s="49"/>
      <c r="S17" s="49"/>
      <c r="T17" s="49"/>
      <c r="U17" s="49"/>
      <c r="V17" s="49"/>
      <c r="W17" s="49"/>
      <c r="X17" s="49"/>
      <c r="Y17" s="49"/>
      <c r="Z17" s="48"/>
      <c r="AA17" s="50"/>
      <c r="AB17" s="51"/>
      <c r="AC17" s="51"/>
      <c r="AD17" s="51"/>
      <c r="AE17" s="12">
        <v>16</v>
      </c>
      <c r="AF17" s="21"/>
      <c r="AG17" s="12">
        <v>15</v>
      </c>
      <c r="AH17" s="12">
        <v>12</v>
      </c>
    </row>
    <row r="18" spans="1:34" ht="17.25">
      <c r="A18" s="142"/>
      <c r="B18" s="145"/>
      <c r="C18" s="206" t="s">
        <v>68</v>
      </c>
      <c r="D18" s="207"/>
      <c r="E18" s="208"/>
      <c r="F18" s="144">
        <f>ROUNDUP(F17*60*60*$H$6*($H$7/100)/1000/8*1.1,2)</f>
        <v>70.460000000000008</v>
      </c>
      <c r="G18" s="139"/>
      <c r="H18" s="165"/>
      <c r="I18" s="164"/>
      <c r="L18">
        <f>IF($C$1=$M$30,2,IF($C$1=$M$31,1,IF($C$1=$M$32,1)))</f>
        <v>2</v>
      </c>
      <c r="M18" s="16" t="s">
        <v>155</v>
      </c>
      <c r="N18" s="33" t="s">
        <v>3</v>
      </c>
      <c r="O18" s="34" t="s">
        <v>56</v>
      </c>
      <c r="P18" s="34" t="s">
        <v>55</v>
      </c>
      <c r="Q18" s="34" t="s">
        <v>54</v>
      </c>
      <c r="R18" s="34" t="s">
        <v>45</v>
      </c>
      <c r="S18" s="34" t="s">
        <v>52</v>
      </c>
      <c r="T18" s="34" t="s">
        <v>119</v>
      </c>
      <c r="U18" s="34" t="s">
        <v>113</v>
      </c>
      <c r="V18" s="34" t="s">
        <v>47</v>
      </c>
      <c r="W18" s="34" t="s">
        <v>4</v>
      </c>
      <c r="X18" s="34" t="s">
        <v>151</v>
      </c>
      <c r="Y18" s="34" t="s">
        <v>5</v>
      </c>
      <c r="Z18" s="34" t="s">
        <v>6</v>
      </c>
      <c r="AA18" s="34" t="s">
        <v>8</v>
      </c>
      <c r="AB18" s="35" t="s">
        <v>9</v>
      </c>
      <c r="AC18" s="35" t="s">
        <v>152</v>
      </c>
      <c r="AD18" s="35" t="s">
        <v>154</v>
      </c>
      <c r="AE18" s="12">
        <v>17</v>
      </c>
      <c r="AF18" s="21"/>
      <c r="AG18" s="12">
        <v>16</v>
      </c>
      <c r="AH18" s="21"/>
    </row>
    <row r="19" spans="1:34" ht="19.5" customHeight="1">
      <c r="A19" s="148" t="s">
        <v>69</v>
      </c>
      <c r="B19" s="166">
        <v>0</v>
      </c>
      <c r="C19" s="206" t="s">
        <v>70</v>
      </c>
      <c r="D19" s="207"/>
      <c r="E19" s="208"/>
      <c r="F19" s="144">
        <f>F18*$B19</f>
        <v>0</v>
      </c>
      <c r="G19" s="139"/>
      <c r="H19" s="165"/>
      <c r="I19" s="167"/>
      <c r="M19" s="16" t="s">
        <v>81</v>
      </c>
      <c r="N19" s="17" t="s">
        <v>11</v>
      </c>
      <c r="O19" s="37"/>
      <c r="P19" s="37"/>
      <c r="Q19" s="37"/>
      <c r="R19" s="37">
        <v>128</v>
      </c>
      <c r="S19" s="37"/>
      <c r="T19" s="37"/>
      <c r="U19" s="37"/>
      <c r="V19" s="37">
        <v>100</v>
      </c>
      <c r="W19" s="37">
        <v>128</v>
      </c>
      <c r="X19" s="37"/>
      <c r="Y19" s="38"/>
      <c r="Z19" s="37">
        <v>202</v>
      </c>
      <c r="AA19" s="39">
        <v>299</v>
      </c>
      <c r="AB19" s="40">
        <v>512</v>
      </c>
      <c r="AC19" s="40"/>
      <c r="AD19" s="40"/>
      <c r="AE19" s="12">
        <v>18</v>
      </c>
      <c r="AF19" s="21"/>
      <c r="AG19" s="12">
        <v>17</v>
      </c>
      <c r="AH19" s="21"/>
    </row>
    <row r="20" spans="1:34" ht="17.25">
      <c r="A20" s="142"/>
      <c r="B20" s="145"/>
      <c r="C20" s="206" t="s">
        <v>72</v>
      </c>
      <c r="D20" s="207"/>
      <c r="E20" s="208"/>
      <c r="F20" s="144">
        <f>IF(B19=0,1,SUM(ROUNDUP(B19/F21,0)))</f>
        <v>1</v>
      </c>
      <c r="G20" s="139"/>
      <c r="H20" s="165"/>
      <c r="I20" s="164"/>
      <c r="M20" s="16" t="s">
        <v>43</v>
      </c>
      <c r="N20" s="17" t="s">
        <v>13</v>
      </c>
      <c r="O20" s="18">
        <v>17</v>
      </c>
      <c r="P20" s="18">
        <v>22</v>
      </c>
      <c r="Q20" s="18">
        <v>43</v>
      </c>
      <c r="R20" s="18">
        <v>41</v>
      </c>
      <c r="S20" s="18">
        <v>44</v>
      </c>
      <c r="T20" s="18">
        <v>64</v>
      </c>
      <c r="U20" s="18">
        <v>118</v>
      </c>
      <c r="V20" s="18">
        <v>139</v>
      </c>
      <c r="W20" s="18">
        <v>176</v>
      </c>
      <c r="X20" s="18">
        <v>182</v>
      </c>
      <c r="Y20" s="19">
        <v>215</v>
      </c>
      <c r="Z20" s="18">
        <v>278</v>
      </c>
      <c r="AA20" s="41">
        <v>411</v>
      </c>
      <c r="AB20" s="42">
        <v>704</v>
      </c>
      <c r="AC20" s="42">
        <v>1070</v>
      </c>
      <c r="AD20" s="42">
        <v>1644</v>
      </c>
      <c r="AE20" s="12">
        <v>19</v>
      </c>
      <c r="AF20" s="21"/>
      <c r="AG20" s="12">
        <v>18</v>
      </c>
      <c r="AH20" s="21"/>
    </row>
    <row r="21" spans="1:34" ht="17.25">
      <c r="A21" s="142"/>
      <c r="B21" s="145"/>
      <c r="C21" s="206" t="s">
        <v>74</v>
      </c>
      <c r="D21" s="207"/>
      <c r="E21" s="208"/>
      <c r="F21" s="144">
        <f>IF(F17&lt;L1,ROUNDUP(B19/L11,0),IF(F17&lt;L2,ROUNDUP(B19/L12,0),IF(F17&lt;L3,ROUNDUP(B19/L13,0),IF(F17&lt;L4,ROUNDUP(B19/L14,0),IF(F17&lt;L5,ROUNDUP(B19/L15,0),IF(F17&lt;L6,ROUNDUP(B19/L16,0),IF(F17&lt;L7,ROUNDUP(B19/L17,0),IF(F17&lt;L8,ROUNDUP(B19/L18,0)," "))))))))</f>
        <v>0</v>
      </c>
      <c r="G21" s="139"/>
      <c r="H21" s="165"/>
      <c r="I21" s="168"/>
      <c r="M21" s="16" t="s">
        <v>42</v>
      </c>
      <c r="N21" s="43" t="s">
        <v>14</v>
      </c>
      <c r="O21" s="44"/>
      <c r="P21" s="44"/>
      <c r="Q21" s="44"/>
      <c r="R21" s="44">
        <v>293</v>
      </c>
      <c r="S21" s="44"/>
      <c r="T21" s="44"/>
      <c r="U21" s="44"/>
      <c r="V21" s="44">
        <v>227</v>
      </c>
      <c r="W21" s="44">
        <v>293</v>
      </c>
      <c r="X21" s="44"/>
      <c r="Y21" s="45"/>
      <c r="Z21" s="44">
        <v>463</v>
      </c>
      <c r="AA21" s="46">
        <v>685</v>
      </c>
      <c r="AB21" s="47">
        <v>1172</v>
      </c>
      <c r="AC21" s="47"/>
      <c r="AD21" s="47"/>
      <c r="AE21" s="12">
        <v>20</v>
      </c>
      <c r="AF21" s="21"/>
      <c r="AG21" s="12">
        <v>19</v>
      </c>
      <c r="AH21" s="21"/>
    </row>
    <row r="22" spans="1:34" ht="17.25">
      <c r="A22" s="142"/>
      <c r="B22" s="169">
        <v>0</v>
      </c>
      <c r="C22" s="206" t="s">
        <v>75</v>
      </c>
      <c r="D22" s="207"/>
      <c r="E22" s="208"/>
      <c r="F22" s="144">
        <f>IF(F20&gt;B19,F18*B19*$B22,F18*F20*$B22)</f>
        <v>0</v>
      </c>
      <c r="G22" s="139"/>
      <c r="H22" s="165"/>
      <c r="I22" s="164"/>
      <c r="M22" s="59"/>
      <c r="N22" s="48"/>
      <c r="O22" s="49"/>
      <c r="P22" s="49"/>
      <c r="Q22" s="49"/>
      <c r="R22" s="49"/>
      <c r="S22" s="49"/>
      <c r="T22" s="49"/>
      <c r="U22" s="49"/>
      <c r="V22" s="49"/>
      <c r="W22" s="49"/>
      <c r="X22" s="49"/>
      <c r="Y22" s="49"/>
      <c r="Z22" s="48"/>
      <c r="AA22" s="50"/>
      <c r="AB22" s="51"/>
      <c r="AC22" s="51"/>
      <c r="AD22" s="51"/>
      <c r="AE22" s="12">
        <v>21</v>
      </c>
      <c r="AF22" s="21"/>
      <c r="AG22" s="12">
        <v>20</v>
      </c>
      <c r="AH22" s="21"/>
    </row>
    <row r="23" spans="1:34" ht="17.25">
      <c r="A23" s="142"/>
      <c r="B23" s="145"/>
      <c r="C23" s="206" t="s">
        <v>76</v>
      </c>
      <c r="D23" s="207"/>
      <c r="E23" s="208"/>
      <c r="F23" s="144">
        <f>ROUNDUP(F22/$M$54,0)</f>
        <v>0</v>
      </c>
      <c r="G23" s="139"/>
      <c r="H23" s="165"/>
      <c r="I23" s="164"/>
      <c r="M23" s="59" t="s">
        <v>28</v>
      </c>
      <c r="N23" s="33" t="s">
        <v>3</v>
      </c>
      <c r="O23" s="34" t="s">
        <v>56</v>
      </c>
      <c r="P23" s="34" t="s">
        <v>55</v>
      </c>
      <c r="Q23" s="34" t="s">
        <v>54</v>
      </c>
      <c r="R23" s="34" t="s">
        <v>45</v>
      </c>
      <c r="S23" s="34" t="s">
        <v>52</v>
      </c>
      <c r="T23" s="34" t="s">
        <v>119</v>
      </c>
      <c r="U23" s="34" t="s">
        <v>113</v>
      </c>
      <c r="V23" s="34" t="s">
        <v>47</v>
      </c>
      <c r="W23" s="34" t="s">
        <v>4</v>
      </c>
      <c r="X23" s="34" t="s">
        <v>151</v>
      </c>
      <c r="Y23" s="34" t="s">
        <v>5</v>
      </c>
      <c r="Z23" s="34" t="s">
        <v>6</v>
      </c>
      <c r="AA23" s="34" t="s">
        <v>8</v>
      </c>
      <c r="AB23" s="35" t="s">
        <v>9</v>
      </c>
      <c r="AC23" s="35" t="s">
        <v>152</v>
      </c>
      <c r="AD23" s="35" t="s">
        <v>154</v>
      </c>
      <c r="AE23" s="12">
        <v>22</v>
      </c>
      <c r="AF23" s="21"/>
      <c r="AG23" s="12">
        <v>21</v>
      </c>
      <c r="AH23" s="21"/>
    </row>
    <row r="24" spans="1:34" ht="17.25">
      <c r="A24" s="142"/>
      <c r="B24" s="145"/>
      <c r="C24" s="206" t="s">
        <v>77</v>
      </c>
      <c r="D24" s="207"/>
      <c r="E24" s="208"/>
      <c r="F24" s="144">
        <f>IF(F21&gt;1,B19-(F21-1)*F20,0)</f>
        <v>0</v>
      </c>
      <c r="G24" s="139"/>
      <c r="H24" s="165"/>
      <c r="I24" s="164"/>
      <c r="M24" s="55">
        <v>750</v>
      </c>
      <c r="N24" s="17" t="s">
        <v>11</v>
      </c>
      <c r="O24" s="37"/>
      <c r="P24" s="37"/>
      <c r="Q24" s="37"/>
      <c r="R24" s="37">
        <v>128</v>
      </c>
      <c r="S24" s="37"/>
      <c r="T24" s="37"/>
      <c r="U24" s="37"/>
      <c r="V24" s="37">
        <v>100</v>
      </c>
      <c r="W24" s="37">
        <v>128</v>
      </c>
      <c r="X24" s="37"/>
      <c r="Y24" s="38"/>
      <c r="Z24" s="37">
        <v>202</v>
      </c>
      <c r="AA24" s="39">
        <v>299</v>
      </c>
      <c r="AB24" s="40">
        <v>512</v>
      </c>
      <c r="AC24" s="40"/>
      <c r="AD24" s="40"/>
      <c r="AE24" s="12">
        <v>23</v>
      </c>
      <c r="AF24" s="21"/>
      <c r="AG24" s="12">
        <v>22</v>
      </c>
      <c r="AH24" s="21"/>
    </row>
    <row r="25" spans="1:34" ht="17.25">
      <c r="A25" s="142"/>
      <c r="B25" s="157">
        <f>B22</f>
        <v>0</v>
      </c>
      <c r="C25" s="206" t="s">
        <v>78</v>
      </c>
      <c r="D25" s="207"/>
      <c r="E25" s="208"/>
      <c r="F25" s="144">
        <f>F18*F24*$B25</f>
        <v>0</v>
      </c>
      <c r="G25" s="139"/>
      <c r="H25" s="165"/>
      <c r="I25" s="164"/>
      <c r="M25" s="55">
        <v>1000</v>
      </c>
      <c r="N25" s="17" t="s">
        <v>13</v>
      </c>
      <c r="O25" s="18">
        <v>17</v>
      </c>
      <c r="P25" s="18">
        <v>22</v>
      </c>
      <c r="Q25" s="18">
        <v>43</v>
      </c>
      <c r="R25" s="18">
        <v>41</v>
      </c>
      <c r="S25" s="18">
        <v>44</v>
      </c>
      <c r="T25" s="18">
        <v>64</v>
      </c>
      <c r="U25" s="18">
        <v>118</v>
      </c>
      <c r="V25" s="18">
        <v>139</v>
      </c>
      <c r="W25" s="18">
        <v>176</v>
      </c>
      <c r="X25" s="18">
        <v>182</v>
      </c>
      <c r="Y25" s="19">
        <v>215</v>
      </c>
      <c r="Z25" s="18">
        <v>278</v>
      </c>
      <c r="AA25" s="41">
        <v>411</v>
      </c>
      <c r="AB25" s="42">
        <v>704</v>
      </c>
      <c r="AC25" s="42">
        <v>1070</v>
      </c>
      <c r="AD25" s="42">
        <v>1644</v>
      </c>
      <c r="AE25" s="12">
        <v>24</v>
      </c>
      <c r="AF25" s="21"/>
      <c r="AG25" s="12">
        <v>23</v>
      </c>
      <c r="AH25" s="21"/>
    </row>
    <row r="26" spans="1:34" ht="17.25">
      <c r="A26" s="142"/>
      <c r="B26" s="145"/>
      <c r="C26" s="206" t="s">
        <v>79</v>
      </c>
      <c r="D26" s="207"/>
      <c r="E26" s="208"/>
      <c r="F26" s="144">
        <f>IF(F24&gt;0,ROUNDUP(F25/$M$54,0),0)</f>
        <v>0</v>
      </c>
      <c r="G26" s="139"/>
      <c r="H26" s="165"/>
      <c r="I26" s="164"/>
      <c r="M26" s="55">
        <v>1500</v>
      </c>
      <c r="N26" s="43" t="s">
        <v>14</v>
      </c>
      <c r="O26" s="44"/>
      <c r="P26" s="44"/>
      <c r="Q26" s="44"/>
      <c r="R26" s="44">
        <v>293</v>
      </c>
      <c r="S26" s="44"/>
      <c r="T26" s="44"/>
      <c r="U26" s="44"/>
      <c r="V26" s="44">
        <v>227</v>
      </c>
      <c r="W26" s="44">
        <v>293</v>
      </c>
      <c r="X26" s="44"/>
      <c r="Y26" s="45"/>
      <c r="Z26" s="44">
        <v>463</v>
      </c>
      <c r="AA26" s="46">
        <v>685</v>
      </c>
      <c r="AB26" s="47">
        <v>1172</v>
      </c>
      <c r="AC26" s="47"/>
      <c r="AD26" s="47"/>
      <c r="AE26" s="12">
        <v>25</v>
      </c>
      <c r="AF26" s="21"/>
      <c r="AG26" s="12">
        <v>24</v>
      </c>
      <c r="AH26" s="21"/>
    </row>
    <row r="27" spans="1:34" ht="17.25">
      <c r="A27" s="148"/>
      <c r="B27" s="143"/>
      <c r="C27" s="209" t="s">
        <v>80</v>
      </c>
      <c r="D27" s="210"/>
      <c r="E27" s="211"/>
      <c r="F27" s="161">
        <f>IF(F21&gt;1,F23*(F21-1)+F26,F23)</f>
        <v>0</v>
      </c>
      <c r="G27" s="139"/>
      <c r="H27" s="165"/>
      <c r="I27" s="164"/>
      <c r="M27" s="55">
        <v>2000</v>
      </c>
      <c r="N27" s="48"/>
      <c r="O27" s="49"/>
      <c r="P27" s="49"/>
      <c r="Q27" s="49"/>
      <c r="R27" s="49"/>
      <c r="S27" s="49"/>
      <c r="T27" s="49"/>
      <c r="U27" s="49"/>
      <c r="V27" s="49"/>
      <c r="W27" s="49"/>
      <c r="X27" s="49"/>
      <c r="Y27" s="48"/>
      <c r="Z27" s="48"/>
      <c r="AA27" s="48"/>
      <c r="AB27" s="36"/>
      <c r="AC27" s="36"/>
      <c r="AD27" s="36"/>
      <c r="AE27" s="12">
        <v>26</v>
      </c>
      <c r="AF27" s="21"/>
      <c r="AG27" s="12">
        <v>25</v>
      </c>
      <c r="AH27" s="21"/>
    </row>
    <row r="28" spans="1:34" ht="17.25">
      <c r="A28" s="170"/>
      <c r="B28" s="165"/>
      <c r="C28" s="171"/>
      <c r="D28" s="171"/>
      <c r="E28" s="171"/>
      <c r="F28" s="171"/>
      <c r="G28" s="139"/>
      <c r="H28" s="165"/>
      <c r="I28" s="164"/>
      <c r="M28" s="55">
        <v>3000</v>
      </c>
      <c r="N28" s="56" t="s">
        <v>29</v>
      </c>
      <c r="O28" s="54"/>
      <c r="P28" s="54"/>
      <c r="Q28" s="54"/>
      <c r="R28" s="54"/>
      <c r="S28" s="54"/>
      <c r="T28" s="54"/>
      <c r="U28" s="54"/>
      <c r="V28" s="54"/>
      <c r="W28" s="54"/>
      <c r="X28" s="54"/>
      <c r="Y28" s="48"/>
      <c r="Z28" s="48"/>
      <c r="AA28" s="48"/>
      <c r="AB28" s="36"/>
      <c r="AC28" s="36"/>
      <c r="AD28" s="36"/>
      <c r="AE28" s="12">
        <v>27</v>
      </c>
      <c r="AF28" s="21"/>
      <c r="AG28" s="12">
        <v>26</v>
      </c>
      <c r="AH28" s="21"/>
    </row>
    <row r="29" spans="1:34" ht="20.25">
      <c r="A29" s="134">
        <v>3</v>
      </c>
      <c r="B29" s="135"/>
      <c r="C29" s="136" t="s">
        <v>10</v>
      </c>
      <c r="D29" s="137" t="s">
        <v>62</v>
      </c>
      <c r="E29" s="138">
        <v>30</v>
      </c>
      <c r="F29" s="182">
        <v>0</v>
      </c>
      <c r="G29" s="139"/>
      <c r="H29" s="165"/>
      <c r="I29" s="164"/>
      <c r="M29" s="59" t="s">
        <v>137</v>
      </c>
      <c r="N29" s="56"/>
      <c r="O29" s="54"/>
      <c r="P29" s="54"/>
      <c r="Q29" s="54"/>
      <c r="R29" s="54"/>
      <c r="S29" s="54"/>
      <c r="T29" s="54"/>
      <c r="U29" s="54"/>
      <c r="V29" s="54"/>
      <c r="W29" s="54"/>
      <c r="X29" s="54"/>
      <c r="Y29" s="48"/>
      <c r="Z29" s="48"/>
      <c r="AA29" s="48"/>
      <c r="AB29" s="36"/>
      <c r="AC29" s="36"/>
      <c r="AD29" s="36"/>
      <c r="AE29" s="12">
        <v>28</v>
      </c>
      <c r="AF29" s="21"/>
      <c r="AG29" s="12">
        <v>27</v>
      </c>
      <c r="AH29" s="21"/>
    </row>
    <row r="30" spans="1:34" ht="20.25">
      <c r="A30" s="142"/>
      <c r="B30" s="143"/>
      <c r="C30" s="212" t="s">
        <v>67</v>
      </c>
      <c r="D30" s="213"/>
      <c r="E30" s="214"/>
      <c r="F30" s="144">
        <f>IF(F29&lt;&gt;0,F29,IF(D29=M19,SUM(O42:AD42)*E29*8/1000,IF(D29=M20,((SUM(O42:AD42)*(E29*2-1)*8/1000/5+SUM(O42:AD42)*8/1000)/2)*5/6,IF(D29=M21,(SUM(O42:AD42)*(E29*2-1)*8/1000/5+SUM(O42:AD42)*8/1000)/2,"error"))))</f>
        <v>7.5093333333333341</v>
      </c>
      <c r="G30" s="139"/>
      <c r="H30" s="165"/>
      <c r="I30" s="164"/>
      <c r="M30" s="124" t="s">
        <v>178</v>
      </c>
      <c r="N30" s="33" t="s">
        <v>3</v>
      </c>
      <c r="O30" s="34" t="s">
        <v>56</v>
      </c>
      <c r="P30" s="34" t="s">
        <v>55</v>
      </c>
      <c r="Q30" s="34" t="s">
        <v>54</v>
      </c>
      <c r="R30" s="34" t="s">
        <v>45</v>
      </c>
      <c r="S30" s="34" t="s">
        <v>52</v>
      </c>
      <c r="T30" s="34" t="s">
        <v>119</v>
      </c>
      <c r="U30" s="34" t="s">
        <v>113</v>
      </c>
      <c r="V30" s="34" t="s">
        <v>47</v>
      </c>
      <c r="W30" s="34" t="s">
        <v>4</v>
      </c>
      <c r="X30" s="34" t="s">
        <v>5</v>
      </c>
      <c r="Y30" s="34" t="s">
        <v>6</v>
      </c>
      <c r="Z30" s="34" t="s">
        <v>7</v>
      </c>
      <c r="AA30" s="34" t="s">
        <v>8</v>
      </c>
      <c r="AB30" s="35" t="s">
        <v>9</v>
      </c>
      <c r="AC30" s="35" t="s">
        <v>152</v>
      </c>
      <c r="AD30" s="35" t="s">
        <v>154</v>
      </c>
      <c r="AE30" s="12">
        <v>29</v>
      </c>
      <c r="AF30" s="21"/>
      <c r="AG30" s="12">
        <v>28</v>
      </c>
      <c r="AH30" s="21"/>
    </row>
    <row r="31" spans="1:34" ht="20.25">
      <c r="A31" s="142"/>
      <c r="B31" s="145"/>
      <c r="C31" s="206" t="s">
        <v>68</v>
      </c>
      <c r="D31" s="207"/>
      <c r="E31" s="208"/>
      <c r="F31" s="144">
        <f>ROUNDUP(F30*60*60*$H$6*($H$7/100)/1000/8*1.1,2)</f>
        <v>89.22</v>
      </c>
      <c r="G31" s="139"/>
      <c r="H31" s="165"/>
      <c r="I31" s="164"/>
      <c r="M31" s="124" t="s">
        <v>138</v>
      </c>
      <c r="N31" s="17" t="s">
        <v>11</v>
      </c>
      <c r="O31" s="18"/>
      <c r="P31" s="18"/>
      <c r="Q31" s="18"/>
      <c r="R31" s="18"/>
      <c r="S31" s="18"/>
      <c r="T31" s="18"/>
      <c r="U31" s="18"/>
      <c r="V31" s="18"/>
      <c r="W31" s="18"/>
      <c r="X31" s="18"/>
      <c r="Y31" s="18"/>
      <c r="Z31" s="18"/>
      <c r="AA31" s="18"/>
      <c r="AB31" s="57"/>
      <c r="AC31" s="57"/>
      <c r="AD31" s="57"/>
      <c r="AE31" s="12">
        <v>30</v>
      </c>
      <c r="AF31" s="21"/>
      <c r="AG31" s="12">
        <v>29</v>
      </c>
      <c r="AH31" s="21"/>
    </row>
    <row r="32" spans="1:34" ht="20.25">
      <c r="A32" s="148" t="s">
        <v>69</v>
      </c>
      <c r="B32" s="166">
        <v>0</v>
      </c>
      <c r="C32" s="206" t="s">
        <v>70</v>
      </c>
      <c r="D32" s="207"/>
      <c r="E32" s="208"/>
      <c r="F32" s="144">
        <f>F31*$B32</f>
        <v>0</v>
      </c>
      <c r="G32" s="139"/>
      <c r="H32" s="165"/>
      <c r="I32" s="164"/>
      <c r="M32" s="124" t="s">
        <v>139</v>
      </c>
      <c r="N32" s="17" t="s">
        <v>13</v>
      </c>
      <c r="O32" s="18">
        <f>IF($C$3=$M$3,O5,0)</f>
        <v>0</v>
      </c>
      <c r="P32" s="18">
        <f>IF($C$3=$M$4,P5,0)</f>
        <v>0</v>
      </c>
      <c r="Q32" s="18">
        <f>IF($C$3=$M$5,Q5,0)</f>
        <v>0</v>
      </c>
      <c r="R32" s="18">
        <f>IF($C$3=$M$6,R5,0)</f>
        <v>41</v>
      </c>
      <c r="S32" s="18">
        <f>IF($C$3=$M$7,S5,0)</f>
        <v>0</v>
      </c>
      <c r="T32" s="18">
        <f>IF($C$3=$M$8,T5,0)</f>
        <v>0</v>
      </c>
      <c r="U32" s="18">
        <f>IF($C$3=$M$9,U5,0)</f>
        <v>0</v>
      </c>
      <c r="V32" s="18">
        <f>IF($C$3=$M$10,V5,0)</f>
        <v>0</v>
      </c>
      <c r="W32" s="18">
        <f>IF($C$3=$M$11,W5,0)</f>
        <v>0</v>
      </c>
      <c r="X32" s="18">
        <f>IF($C$3=$M$12,X5,0)</f>
        <v>0</v>
      </c>
      <c r="Y32" s="18">
        <f>IF($C$3=$M$13,Y5,0)</f>
        <v>0</v>
      </c>
      <c r="Z32" s="18">
        <f>IF($C$3=$M$14,Z5,0)</f>
        <v>0</v>
      </c>
      <c r="AA32" s="18">
        <f>IF($C$3=$M$15,AA5,0)</f>
        <v>0</v>
      </c>
      <c r="AB32" s="57">
        <f>IF($C$3=$M$16,AB5,0)</f>
        <v>0</v>
      </c>
      <c r="AC32" s="57">
        <f>IF($C$3=$M$17,AC5,0)</f>
        <v>0</v>
      </c>
      <c r="AD32" s="57">
        <f>IF($C$3=$M$18,AD5,0)</f>
        <v>0</v>
      </c>
      <c r="AE32" s="12">
        <v>31</v>
      </c>
      <c r="AF32" s="21"/>
      <c r="AG32" s="12">
        <v>30</v>
      </c>
      <c r="AH32" s="21"/>
    </row>
    <row r="33" spans="1:34" ht="17.25">
      <c r="A33" s="142"/>
      <c r="B33" s="145"/>
      <c r="C33" s="206" t="s">
        <v>72</v>
      </c>
      <c r="D33" s="207"/>
      <c r="E33" s="208"/>
      <c r="F33" s="144">
        <f>IF(B32=0,1,SUM(ROUNDUP(B32/F34,0)))</f>
        <v>1</v>
      </c>
      <c r="G33" s="139"/>
      <c r="H33" s="165"/>
      <c r="I33" s="164"/>
      <c r="M33" s="16"/>
      <c r="N33" s="43" t="s">
        <v>14</v>
      </c>
      <c r="O33" s="44"/>
      <c r="P33" s="44"/>
      <c r="Q33" s="44"/>
      <c r="R33" s="44"/>
      <c r="S33" s="44"/>
      <c r="T33" s="44"/>
      <c r="U33" s="44"/>
      <c r="V33" s="44"/>
      <c r="W33" s="44"/>
      <c r="X33" s="44"/>
      <c r="Y33" s="44"/>
      <c r="Z33" s="44"/>
      <c r="AA33" s="44"/>
      <c r="AB33" s="58"/>
      <c r="AC33" s="58"/>
      <c r="AD33" s="58"/>
      <c r="AE33" s="12">
        <v>32</v>
      </c>
      <c r="AF33" s="21"/>
      <c r="AG33" s="12">
        <v>31</v>
      </c>
      <c r="AH33" s="21"/>
    </row>
    <row r="34" spans="1:34" ht="17.25">
      <c r="A34" s="142"/>
      <c r="B34" s="145"/>
      <c r="C34" s="206" t="s">
        <v>74</v>
      </c>
      <c r="D34" s="207"/>
      <c r="E34" s="208"/>
      <c r="F34" s="144">
        <f>IF(F30&lt;L1,ROUNDUP(B32/L11,0),IF(F30&lt;L2,ROUNDUP(B32/L12,0),IF(F30&lt;L3,ROUNDUP(B32/L13,0),IF(F30&lt;L4,ROUNDUP(B32/L14,0),IF(F30&lt;L5,ROUNDUP(B32/L15,0),IF(F30&lt;L6,ROUNDUP(B32/L16,0),IF(F30&lt;L7,ROUNDUP(B32/L17,0),IF(F30&lt;L8,ROUNDUP(B32/L18,0)," "))))))))</f>
        <v>0</v>
      </c>
      <c r="G34" s="139"/>
      <c r="H34" s="165"/>
      <c r="I34" s="164"/>
      <c r="M34" s="16"/>
      <c r="N34" s="48"/>
      <c r="O34" s="49"/>
      <c r="P34" s="49"/>
      <c r="Q34" s="49"/>
      <c r="R34" s="49"/>
      <c r="S34" s="49"/>
      <c r="T34" s="49"/>
      <c r="U34" s="49"/>
      <c r="V34" s="49"/>
      <c r="W34" s="49"/>
      <c r="X34" s="49"/>
      <c r="Y34" s="48"/>
      <c r="Z34" s="48"/>
      <c r="AA34" s="48"/>
      <c r="AB34" s="36"/>
      <c r="AC34" s="36"/>
      <c r="AD34" s="36"/>
      <c r="AE34" s="12">
        <v>33</v>
      </c>
      <c r="AF34" s="21"/>
      <c r="AG34" s="12">
        <v>32</v>
      </c>
      <c r="AH34" s="21"/>
    </row>
    <row r="35" spans="1:34" ht="17.25">
      <c r="A35" s="142"/>
      <c r="B35" s="169">
        <v>0</v>
      </c>
      <c r="C35" s="206" t="s">
        <v>75</v>
      </c>
      <c r="D35" s="207"/>
      <c r="E35" s="208"/>
      <c r="F35" s="144">
        <f>IF(F33&gt;B32,F31*B32*$B35,F31*F33*$B35)</f>
        <v>0</v>
      </c>
      <c r="G35" s="139"/>
      <c r="H35" s="165"/>
      <c r="I35" s="164"/>
      <c r="M35" s="59"/>
      <c r="N35" s="33" t="s">
        <v>3</v>
      </c>
      <c r="O35" s="34" t="s">
        <v>56</v>
      </c>
      <c r="P35" s="34" t="s">
        <v>55</v>
      </c>
      <c r="Q35" s="34" t="s">
        <v>54</v>
      </c>
      <c r="R35" s="34" t="s">
        <v>45</v>
      </c>
      <c r="S35" s="34" t="s">
        <v>52</v>
      </c>
      <c r="T35" s="34" t="s">
        <v>119</v>
      </c>
      <c r="U35" s="34" t="s">
        <v>113</v>
      </c>
      <c r="V35" s="34" t="s">
        <v>47</v>
      </c>
      <c r="W35" s="34" t="s">
        <v>4</v>
      </c>
      <c r="X35" s="34" t="s">
        <v>5</v>
      </c>
      <c r="Y35" s="34" t="s">
        <v>6</v>
      </c>
      <c r="Z35" s="34" t="s">
        <v>7</v>
      </c>
      <c r="AA35" s="34" t="s">
        <v>8</v>
      </c>
      <c r="AB35" s="35" t="s">
        <v>9</v>
      </c>
      <c r="AC35" s="35" t="s">
        <v>152</v>
      </c>
      <c r="AD35" s="35" t="s">
        <v>154</v>
      </c>
      <c r="AE35" s="12">
        <v>34</v>
      </c>
      <c r="AF35" s="21"/>
      <c r="AH35" s="21"/>
    </row>
    <row r="36" spans="1:34" ht="17.25">
      <c r="A36" s="142"/>
      <c r="B36" s="145"/>
      <c r="C36" s="206" t="s">
        <v>76</v>
      </c>
      <c r="D36" s="207"/>
      <c r="E36" s="208"/>
      <c r="F36" s="144">
        <f>ROUNDUP(F35/$M$54,0)</f>
        <v>0</v>
      </c>
      <c r="G36" s="139"/>
      <c r="H36" s="165"/>
      <c r="I36" s="164"/>
      <c r="M36" s="62"/>
      <c r="N36" s="17" t="s">
        <v>11</v>
      </c>
      <c r="O36" s="18"/>
      <c r="P36" s="18"/>
      <c r="Q36" s="18"/>
      <c r="R36" s="18"/>
      <c r="S36" s="18"/>
      <c r="T36" s="18"/>
      <c r="U36" s="18"/>
      <c r="V36" s="18"/>
      <c r="W36" s="18"/>
      <c r="X36" s="18"/>
      <c r="Y36" s="18"/>
      <c r="Z36" s="18"/>
      <c r="AA36" s="18"/>
      <c r="AB36" s="57"/>
      <c r="AC36" s="57"/>
      <c r="AD36" s="57"/>
      <c r="AE36" s="12">
        <v>35</v>
      </c>
      <c r="AF36" s="21"/>
      <c r="AH36" s="21"/>
    </row>
    <row r="37" spans="1:34" ht="17.25">
      <c r="A37" s="142"/>
      <c r="B37" s="145"/>
      <c r="C37" s="206" t="s">
        <v>77</v>
      </c>
      <c r="D37" s="207"/>
      <c r="E37" s="208"/>
      <c r="F37" s="144">
        <f>IF(F34&gt;1,B32-(F34-1)*F33,0)</f>
        <v>0</v>
      </c>
      <c r="G37" s="139"/>
      <c r="H37" s="165"/>
      <c r="I37" s="164"/>
      <c r="M37" s="62"/>
      <c r="N37" s="17" t="s">
        <v>13</v>
      </c>
      <c r="O37" s="18">
        <f>IF($C$16=$M$3,O10,0)</f>
        <v>0</v>
      </c>
      <c r="P37" s="18">
        <f>IF($C$16=$M$4,P10,0)</f>
        <v>0</v>
      </c>
      <c r="Q37" s="18">
        <f>IF($C$16=$M$5,Q10,0)</f>
        <v>0</v>
      </c>
      <c r="R37" s="18">
        <f>IF($C$16=$M$6,R10,0)</f>
        <v>0</v>
      </c>
      <c r="S37" s="18">
        <f>IF($C$16=$M$7,S10,0)</f>
        <v>0</v>
      </c>
      <c r="T37" s="18">
        <f>IF($C$16=$M$8,T10,0)</f>
        <v>0</v>
      </c>
      <c r="U37" s="18">
        <f>IF($C$16=$M$9,U10,0)</f>
        <v>0</v>
      </c>
      <c r="V37" s="18">
        <f>IF($C$16=$M$10,V10,0)</f>
        <v>139</v>
      </c>
      <c r="W37" s="18">
        <f>IF($C$16=$M$11,W10,0)</f>
        <v>0</v>
      </c>
      <c r="X37" s="18">
        <f>IF($C$16=$M$12,X10,0)</f>
        <v>0</v>
      </c>
      <c r="Y37" s="18">
        <f>IF($C$16=$M$13,Y10,0)</f>
        <v>0</v>
      </c>
      <c r="Z37" s="18">
        <f>IF($C$16=$M$14,Z10,0)</f>
        <v>0</v>
      </c>
      <c r="AA37" s="18">
        <f>IF($C$16=$M$15,AA10,0)</f>
        <v>0</v>
      </c>
      <c r="AB37" s="57">
        <f>IF($C$16=$M$16,AB10,0)</f>
        <v>0</v>
      </c>
      <c r="AC37" s="57">
        <f>IF($C$16=$M$17,AC10,0)</f>
        <v>0</v>
      </c>
      <c r="AD37" s="57">
        <f>IF($C$16=$M$18,AD10,0)</f>
        <v>0</v>
      </c>
      <c r="AE37" s="12">
        <v>36</v>
      </c>
      <c r="AF37" s="21"/>
      <c r="AH37" s="21"/>
    </row>
    <row r="38" spans="1:34" ht="17.25">
      <c r="A38" s="142"/>
      <c r="B38" s="157">
        <f>B35</f>
        <v>0</v>
      </c>
      <c r="C38" s="206" t="s">
        <v>78</v>
      </c>
      <c r="D38" s="207"/>
      <c r="E38" s="208"/>
      <c r="F38" s="144">
        <f>F31*F37*$B38</f>
        <v>0</v>
      </c>
      <c r="G38" s="139"/>
      <c r="H38" s="165"/>
      <c r="I38" s="164"/>
      <c r="M38" s="97"/>
      <c r="N38" s="43" t="s">
        <v>14</v>
      </c>
      <c r="O38" s="44"/>
      <c r="P38" s="44"/>
      <c r="Q38" s="44"/>
      <c r="R38" s="44"/>
      <c r="S38" s="44"/>
      <c r="T38" s="44"/>
      <c r="U38" s="44"/>
      <c r="V38" s="44"/>
      <c r="W38" s="44"/>
      <c r="X38" s="44"/>
      <c r="Y38" s="44"/>
      <c r="Z38" s="44"/>
      <c r="AA38" s="44"/>
      <c r="AB38" s="58"/>
      <c r="AC38" s="58"/>
      <c r="AD38" s="58"/>
      <c r="AE38" s="12">
        <v>37</v>
      </c>
      <c r="AF38" s="21"/>
      <c r="AH38" s="21"/>
    </row>
    <row r="39" spans="1:34" ht="18" thickBot="1">
      <c r="A39" s="142"/>
      <c r="B39" s="145"/>
      <c r="C39" s="206" t="s">
        <v>79</v>
      </c>
      <c r="D39" s="207"/>
      <c r="E39" s="208"/>
      <c r="F39" s="144">
        <f>IF(F37&gt;0,ROUNDUP(F38/$M$54,0),0)</f>
        <v>0</v>
      </c>
      <c r="G39" s="139"/>
      <c r="H39" s="165"/>
      <c r="I39" s="164"/>
      <c r="M39" s="96"/>
      <c r="N39" s="99"/>
      <c r="O39" s="49"/>
      <c r="P39" s="49"/>
      <c r="Q39" s="49"/>
      <c r="R39" s="49"/>
      <c r="S39" s="49"/>
      <c r="T39" s="49"/>
      <c r="U39" s="49"/>
      <c r="V39" s="49"/>
      <c r="W39" s="49"/>
      <c r="X39" s="49"/>
      <c r="Y39" s="48"/>
      <c r="Z39" s="48"/>
      <c r="AA39" s="48"/>
      <c r="AB39" s="36"/>
      <c r="AC39" s="36"/>
      <c r="AD39" s="36"/>
      <c r="AE39" s="12">
        <v>38</v>
      </c>
      <c r="AF39" s="21"/>
      <c r="AH39" s="21"/>
    </row>
    <row r="40" spans="1:34" ht="18" thickTop="1">
      <c r="A40" s="148"/>
      <c r="B40" s="143"/>
      <c r="C40" s="209" t="s">
        <v>80</v>
      </c>
      <c r="D40" s="210"/>
      <c r="E40" s="211"/>
      <c r="F40" s="161">
        <f>IF(F34&gt;1,F36*(F34-1)+F39,F36)</f>
        <v>0</v>
      </c>
      <c r="G40" s="139"/>
      <c r="H40" s="165"/>
      <c r="I40" s="164"/>
      <c r="M40" s="15"/>
      <c r="N40" s="33" t="s">
        <v>3</v>
      </c>
      <c r="O40" s="34" t="s">
        <v>56</v>
      </c>
      <c r="P40" s="34" t="s">
        <v>55</v>
      </c>
      <c r="Q40" s="34" t="s">
        <v>54</v>
      </c>
      <c r="R40" s="34" t="s">
        <v>45</v>
      </c>
      <c r="S40" s="34" t="s">
        <v>52</v>
      </c>
      <c r="T40" s="34" t="s">
        <v>119</v>
      </c>
      <c r="U40" s="34" t="s">
        <v>113</v>
      </c>
      <c r="V40" s="34" t="s">
        <v>47</v>
      </c>
      <c r="W40" s="34" t="s">
        <v>4</v>
      </c>
      <c r="X40" s="34" t="s">
        <v>5</v>
      </c>
      <c r="Y40" s="34" t="s">
        <v>6</v>
      </c>
      <c r="Z40" s="34" t="s">
        <v>7</v>
      </c>
      <c r="AA40" s="34" t="s">
        <v>8</v>
      </c>
      <c r="AB40" s="35" t="s">
        <v>9</v>
      </c>
      <c r="AC40" s="35" t="s">
        <v>152</v>
      </c>
      <c r="AD40" s="35" t="s">
        <v>154</v>
      </c>
      <c r="AE40" s="12">
        <v>39</v>
      </c>
      <c r="AF40" s="21"/>
      <c r="AH40" s="21"/>
    </row>
    <row r="41" spans="1:34" ht="17.25">
      <c r="A41" s="170"/>
      <c r="B41" s="165"/>
      <c r="C41" s="171"/>
      <c r="D41" s="171"/>
      <c r="E41" s="171"/>
      <c r="F41" s="171"/>
      <c r="G41" s="139"/>
      <c r="H41" s="165"/>
      <c r="I41" s="164"/>
      <c r="J41" s="105"/>
      <c r="K41" s="105"/>
      <c r="L41" s="105"/>
      <c r="M41" s="15"/>
      <c r="N41" s="17" t="s">
        <v>11</v>
      </c>
      <c r="O41" s="18"/>
      <c r="P41" s="18"/>
      <c r="Q41" s="18"/>
      <c r="R41" s="18"/>
      <c r="S41" s="18"/>
      <c r="T41" s="18"/>
      <c r="U41" s="18"/>
      <c r="V41" s="18"/>
      <c r="W41" s="18"/>
      <c r="X41" s="18"/>
      <c r="Y41" s="18"/>
      <c r="Z41" s="18"/>
      <c r="AA41" s="18"/>
      <c r="AB41" s="57"/>
      <c r="AC41" s="57"/>
      <c r="AD41" s="57"/>
      <c r="AE41" s="12">
        <v>40</v>
      </c>
      <c r="AF41" s="21"/>
      <c r="AH41" s="21"/>
    </row>
    <row r="42" spans="1:34" ht="20.25">
      <c r="A42" s="134">
        <v>4</v>
      </c>
      <c r="B42" s="135"/>
      <c r="C42" s="136" t="s">
        <v>19</v>
      </c>
      <c r="D42" s="137" t="s">
        <v>62</v>
      </c>
      <c r="E42" s="138">
        <v>9</v>
      </c>
      <c r="F42" s="182">
        <v>0</v>
      </c>
      <c r="G42" s="139"/>
      <c r="H42" s="165"/>
      <c r="I42" s="164"/>
      <c r="M42" s="15"/>
      <c r="N42" s="17" t="s">
        <v>13</v>
      </c>
      <c r="O42" s="18">
        <f>IF($C$29=$M$3,O15,0)</f>
        <v>0</v>
      </c>
      <c r="P42" s="18">
        <f>IF($C$29=$M$4,P15,0)</f>
        <v>0</v>
      </c>
      <c r="Q42" s="18">
        <f>IF($C$29=$M$5,Q15,0)</f>
        <v>0</v>
      </c>
      <c r="R42" s="18">
        <f>IF($C$29=$M$6,R15,0)</f>
        <v>0</v>
      </c>
      <c r="S42" s="18">
        <f>IF($C$29=$M$7,S15,0)</f>
        <v>0</v>
      </c>
      <c r="T42" s="18">
        <f>IF($C$29=$M$8,T15,0)</f>
        <v>0</v>
      </c>
      <c r="U42" s="18">
        <f>IF($C$29=$M$9,U15,0)</f>
        <v>0</v>
      </c>
      <c r="V42" s="18">
        <f>IF($C$29=$M$10,V15,0)</f>
        <v>0</v>
      </c>
      <c r="W42" s="18">
        <f>IF($C$29=$M$11,W15,0)</f>
        <v>176</v>
      </c>
      <c r="X42" s="18">
        <f>IF($C$29=$M$12,X15,0)</f>
        <v>0</v>
      </c>
      <c r="Y42" s="18">
        <f>IF($C$29=$M$13,Y15,0)</f>
        <v>0</v>
      </c>
      <c r="Z42" s="18">
        <f>IF($C$29=$M$14,Z15,0)</f>
        <v>0</v>
      </c>
      <c r="AA42" s="18">
        <f>IF($C$29=$M$15,AA15,0)</f>
        <v>0</v>
      </c>
      <c r="AB42" s="18">
        <f>IF($C$29=$M$16,AB15,0)</f>
        <v>0</v>
      </c>
      <c r="AC42" s="18">
        <f>IF($C$29=$M$17,AC15,0)</f>
        <v>0</v>
      </c>
      <c r="AD42" s="18">
        <f>IF($C$29=$M$18,AD15,0)</f>
        <v>0</v>
      </c>
      <c r="AE42" s="12">
        <v>41</v>
      </c>
    </row>
    <row r="43" spans="1:34" ht="17.25">
      <c r="A43" s="142"/>
      <c r="B43" s="143"/>
      <c r="C43" s="212" t="s">
        <v>67</v>
      </c>
      <c r="D43" s="213"/>
      <c r="E43" s="214"/>
      <c r="F43" s="144">
        <f>IF(F42&lt;&gt;0,F42,IF(D42=M19,SUM(O47:AD47)*E42*8/1000,IF(D42=M20,((SUM(O47:AD47)*(E42*2-1)*8/1000/5+SUM(O47:AD47)*8/1000)/2)*5/6,IF(D42=M21,(SUM(O47:AD47)*(E42*2-1)*8/1000/5+SUM(O47:AD47)*8/1000)/2,"error"))))</f>
        <v>6.0279999999999996</v>
      </c>
      <c r="G43" s="139"/>
      <c r="H43" s="165"/>
      <c r="I43" s="164"/>
      <c r="N43" s="43" t="s">
        <v>14</v>
      </c>
      <c r="O43" s="44"/>
      <c r="P43" s="44"/>
      <c r="Q43" s="44"/>
      <c r="R43" s="44"/>
      <c r="S43" s="44"/>
      <c r="T43" s="44"/>
      <c r="U43" s="44"/>
      <c r="V43" s="44"/>
      <c r="W43" s="44"/>
      <c r="X43" s="44"/>
      <c r="Y43" s="44"/>
      <c r="Z43" s="44"/>
      <c r="AA43" s="44"/>
      <c r="AB43" s="58"/>
      <c r="AC43" s="58"/>
      <c r="AD43" s="58"/>
      <c r="AE43" s="12">
        <v>42</v>
      </c>
    </row>
    <row r="44" spans="1:34" ht="17.25">
      <c r="A44" s="142"/>
      <c r="B44" s="145"/>
      <c r="C44" s="206" t="s">
        <v>68</v>
      </c>
      <c r="D44" s="207"/>
      <c r="E44" s="208"/>
      <c r="F44" s="144">
        <f>ROUNDUP(F43*60*60*$H$6*($H$7/100)/1000/8*1.1,2)</f>
        <v>71.62</v>
      </c>
      <c r="G44" s="139"/>
      <c r="H44" s="165"/>
      <c r="I44" s="164"/>
      <c r="N44" s="99"/>
      <c r="O44" s="49"/>
      <c r="P44" s="49"/>
      <c r="Q44" s="49"/>
      <c r="R44" s="49"/>
      <c r="S44" s="49"/>
      <c r="T44" s="49"/>
      <c r="U44" s="49"/>
      <c r="V44" s="49"/>
      <c r="W44" s="49"/>
      <c r="X44" s="49"/>
      <c r="Y44" s="48"/>
      <c r="Z44" s="48"/>
      <c r="AA44" s="48"/>
      <c r="AB44" s="36"/>
      <c r="AC44" s="36"/>
      <c r="AD44" s="36"/>
      <c r="AE44" s="12">
        <v>43</v>
      </c>
    </row>
    <row r="45" spans="1:34" ht="17.25">
      <c r="A45" s="148" t="s">
        <v>69</v>
      </c>
      <c r="B45" s="166">
        <v>0</v>
      </c>
      <c r="C45" s="206" t="s">
        <v>70</v>
      </c>
      <c r="D45" s="207"/>
      <c r="E45" s="208"/>
      <c r="F45" s="144">
        <f>F44*$B45</f>
        <v>0</v>
      </c>
      <c r="G45" s="139"/>
      <c r="H45" s="165"/>
      <c r="I45" s="164"/>
      <c r="M45" s="178" t="s">
        <v>157</v>
      </c>
      <c r="N45" s="33" t="s">
        <v>3</v>
      </c>
      <c r="O45" s="34" t="s">
        <v>56</v>
      </c>
      <c r="P45" s="34" t="s">
        <v>55</v>
      </c>
      <c r="Q45" s="34" t="s">
        <v>54</v>
      </c>
      <c r="R45" s="34" t="s">
        <v>45</v>
      </c>
      <c r="S45" s="34" t="s">
        <v>52</v>
      </c>
      <c r="T45" s="34" t="s">
        <v>119</v>
      </c>
      <c r="U45" s="34" t="s">
        <v>113</v>
      </c>
      <c r="V45" s="34" t="s">
        <v>47</v>
      </c>
      <c r="W45" s="34" t="s">
        <v>4</v>
      </c>
      <c r="X45" s="34" t="s">
        <v>5</v>
      </c>
      <c r="Y45" s="34" t="s">
        <v>6</v>
      </c>
      <c r="Z45" s="34" t="s">
        <v>7</v>
      </c>
      <c r="AA45" s="34" t="s">
        <v>8</v>
      </c>
      <c r="AB45" s="35" t="s">
        <v>9</v>
      </c>
      <c r="AC45" s="35" t="s">
        <v>152</v>
      </c>
      <c r="AD45" s="35" t="s">
        <v>154</v>
      </c>
      <c r="AE45" s="12">
        <v>44</v>
      </c>
    </row>
    <row r="46" spans="1:34" ht="18.75">
      <c r="A46" s="142"/>
      <c r="B46" s="145"/>
      <c r="C46" s="206" t="s">
        <v>72</v>
      </c>
      <c r="D46" s="207"/>
      <c r="E46" s="208"/>
      <c r="F46" s="144">
        <f>IF(B45=0,1,SUM(ROUNDUP(B45/F47,0)))</f>
        <v>1</v>
      </c>
      <c r="G46" s="139"/>
      <c r="H46" s="165"/>
      <c r="I46" s="164"/>
      <c r="M46" s="179" t="s">
        <v>158</v>
      </c>
      <c r="N46" s="17" t="s">
        <v>11</v>
      </c>
      <c r="O46" s="18"/>
      <c r="P46" s="18"/>
      <c r="Q46" s="18"/>
      <c r="R46" s="18"/>
      <c r="S46" s="18"/>
      <c r="T46" s="18"/>
      <c r="U46" s="18"/>
      <c r="V46" s="18"/>
      <c r="W46" s="18"/>
      <c r="X46" s="18"/>
      <c r="Y46" s="18"/>
      <c r="Z46" s="18"/>
      <c r="AA46" s="18"/>
      <c r="AB46" s="57"/>
      <c r="AC46" s="57"/>
      <c r="AD46" s="57"/>
      <c r="AE46" s="12">
        <v>45</v>
      </c>
    </row>
    <row r="47" spans="1:34" ht="18.75">
      <c r="A47" s="142"/>
      <c r="B47" s="145"/>
      <c r="C47" s="206" t="s">
        <v>74</v>
      </c>
      <c r="D47" s="207"/>
      <c r="E47" s="208"/>
      <c r="F47" s="144">
        <f>IF(F43&lt;L1,ROUNDUP(B45/L11,0),IF(F43&lt;L2,ROUNDUP(B45/L12,0),IF(F43&lt;L3,ROUNDUP(B45/L13,0),IF(F43&lt;L4,ROUNDUP(B45/L14,0),IF(F43&lt;L5,ROUNDUP(B45/L15,0),IF(F43&lt;L6,ROUNDUP(B45/L16,0),IF(F43&lt;L7,ROUNDUP(B45/L17,0),IF(F43&lt;L8,ROUNDUP(B45/L18,0)," "))))))))</f>
        <v>0</v>
      </c>
      <c r="G47" s="139"/>
      <c r="H47" s="165"/>
      <c r="I47" s="164"/>
      <c r="M47" s="179" t="s">
        <v>159</v>
      </c>
      <c r="N47" s="17" t="s">
        <v>13</v>
      </c>
      <c r="O47" s="18">
        <f>IF($C$42=$M$3,O20,0)</f>
        <v>0</v>
      </c>
      <c r="P47" s="18">
        <f>IF($C$42=$M$4,P20,0)</f>
        <v>0</v>
      </c>
      <c r="Q47" s="18">
        <f>IF($C$42=$M$5,Q20,0)</f>
        <v>0</v>
      </c>
      <c r="R47" s="18">
        <f>IF($C$42=$M$6,R20,0)</f>
        <v>0</v>
      </c>
      <c r="S47" s="18">
        <f>IF($C$42=$M$7,S20,0)</f>
        <v>0</v>
      </c>
      <c r="T47" s="18">
        <f>IF($C$42=$M$8,T20,0)</f>
        <v>0</v>
      </c>
      <c r="U47" s="18">
        <f>IF($C$42=$M$9,U20,0)</f>
        <v>0</v>
      </c>
      <c r="V47" s="18">
        <f>IF($C$42=$M$10,V20,0)</f>
        <v>0</v>
      </c>
      <c r="W47" s="18">
        <f>IF($C$42=$M$11,W20,0)</f>
        <v>0</v>
      </c>
      <c r="X47" s="18">
        <f>IF($C$42=$M$12,X20,0)</f>
        <v>0</v>
      </c>
      <c r="Y47" s="18">
        <f>IF($C$42=$M$13,Y20,0)</f>
        <v>0</v>
      </c>
      <c r="Z47" s="18">
        <f>IF($C$42=$M$14,Z20,0)</f>
        <v>0</v>
      </c>
      <c r="AA47" s="18">
        <f>IF($C$42=$M$15,AA20,0)</f>
        <v>411</v>
      </c>
      <c r="AB47" s="18">
        <f>IF($C$42=$M$16,AB20,0)</f>
        <v>0</v>
      </c>
      <c r="AC47" s="18">
        <f>IF($C$42=$M$17,AC20,0)</f>
        <v>0</v>
      </c>
      <c r="AD47" s="18">
        <f>IF($C$42=$M$18,AD20,0)</f>
        <v>0</v>
      </c>
      <c r="AE47" s="12">
        <v>46</v>
      </c>
    </row>
    <row r="48" spans="1:34" ht="18.75">
      <c r="A48" s="142"/>
      <c r="B48" s="169">
        <v>0</v>
      </c>
      <c r="C48" s="206" t="s">
        <v>75</v>
      </c>
      <c r="D48" s="207"/>
      <c r="E48" s="208"/>
      <c r="F48" s="144">
        <f>IF(F46&gt;B45,F44*B45*$B48,F44*F46*$B48)</f>
        <v>0</v>
      </c>
      <c r="G48" s="139"/>
      <c r="H48" s="165"/>
      <c r="I48" s="164"/>
      <c r="M48" s="179" t="s">
        <v>160</v>
      </c>
      <c r="N48" s="43" t="s">
        <v>14</v>
      </c>
      <c r="O48" s="44"/>
      <c r="P48" s="44"/>
      <c r="Q48" s="44"/>
      <c r="R48" s="44"/>
      <c r="S48" s="44"/>
      <c r="T48" s="44"/>
      <c r="U48" s="44"/>
      <c r="V48" s="44"/>
      <c r="W48" s="44"/>
      <c r="X48" s="44"/>
      <c r="Y48" s="44"/>
      <c r="Z48" s="44"/>
      <c r="AA48" s="44"/>
      <c r="AB48" s="58"/>
      <c r="AC48" s="58"/>
      <c r="AD48" s="58"/>
      <c r="AE48" s="12">
        <v>47</v>
      </c>
    </row>
    <row r="49" spans="1:31" ht="17.25">
      <c r="A49" s="142"/>
      <c r="B49" s="145"/>
      <c r="C49" s="206" t="s">
        <v>76</v>
      </c>
      <c r="D49" s="207"/>
      <c r="E49" s="208"/>
      <c r="F49" s="144">
        <f>ROUNDUP(F48/$M$54,0)</f>
        <v>0</v>
      </c>
      <c r="G49" s="139"/>
      <c r="H49" s="165"/>
      <c r="I49" s="164"/>
      <c r="M49" s="48" t="s">
        <v>161</v>
      </c>
      <c r="N49" s="99"/>
      <c r="O49" s="49"/>
      <c r="P49" s="49"/>
      <c r="Q49" s="49"/>
      <c r="R49" s="49"/>
      <c r="S49" s="49"/>
      <c r="T49" s="49"/>
      <c r="U49" s="49"/>
      <c r="V49" s="49"/>
      <c r="W49" s="49"/>
      <c r="X49" s="49"/>
      <c r="Y49" s="48"/>
      <c r="Z49" s="48"/>
      <c r="AA49" s="48"/>
      <c r="AB49" s="36"/>
      <c r="AC49" s="36"/>
      <c r="AD49" s="36"/>
      <c r="AE49" s="12">
        <v>48</v>
      </c>
    </row>
    <row r="50" spans="1:31" ht="18.75">
      <c r="A50" s="142"/>
      <c r="B50" s="145"/>
      <c r="C50" s="206" t="s">
        <v>77</v>
      </c>
      <c r="D50" s="207"/>
      <c r="E50" s="208"/>
      <c r="F50" s="144">
        <f>IF(F47&gt;1,B45-(F47-1)*F46,0)</f>
        <v>0</v>
      </c>
      <c r="G50" s="139"/>
      <c r="H50" s="165"/>
      <c r="I50" s="164"/>
      <c r="M50" s="179" t="s">
        <v>162</v>
      </c>
      <c r="N50" s="33" t="s">
        <v>3</v>
      </c>
      <c r="O50" s="34" t="s">
        <v>56</v>
      </c>
      <c r="P50" s="34" t="s">
        <v>55</v>
      </c>
      <c r="Q50" s="34" t="s">
        <v>54</v>
      </c>
      <c r="R50" s="34" t="s">
        <v>45</v>
      </c>
      <c r="S50" s="34" t="s">
        <v>52</v>
      </c>
      <c r="T50" s="34" t="s">
        <v>119</v>
      </c>
      <c r="U50" s="34" t="s">
        <v>113</v>
      </c>
      <c r="V50" s="34" t="s">
        <v>47</v>
      </c>
      <c r="W50" s="34" t="s">
        <v>4</v>
      </c>
      <c r="X50" s="34" t="s">
        <v>5</v>
      </c>
      <c r="Y50" s="34" t="s">
        <v>6</v>
      </c>
      <c r="Z50" s="34" t="s">
        <v>7</v>
      </c>
      <c r="AA50" s="34" t="s">
        <v>8</v>
      </c>
      <c r="AB50" s="35" t="s">
        <v>9</v>
      </c>
      <c r="AC50" s="35" t="s">
        <v>152</v>
      </c>
      <c r="AD50" s="35" t="s">
        <v>154</v>
      </c>
      <c r="AE50" s="12">
        <v>49</v>
      </c>
    </row>
    <row r="51" spans="1:31" ht="18.75">
      <c r="A51" s="142"/>
      <c r="B51" s="157">
        <f>B48</f>
        <v>0</v>
      </c>
      <c r="C51" s="206" t="s">
        <v>78</v>
      </c>
      <c r="D51" s="207"/>
      <c r="E51" s="208"/>
      <c r="F51" s="144">
        <f>F44*F50*$B51</f>
        <v>0</v>
      </c>
      <c r="G51" s="139"/>
      <c r="H51" s="165"/>
      <c r="I51" s="164"/>
      <c r="M51" s="180" t="s">
        <v>163</v>
      </c>
      <c r="N51" s="17" t="s">
        <v>11</v>
      </c>
      <c r="O51" s="18"/>
      <c r="P51" s="18"/>
      <c r="Q51" s="18"/>
      <c r="R51" s="18"/>
      <c r="S51" s="18"/>
      <c r="T51" s="18"/>
      <c r="U51" s="18"/>
      <c r="V51" s="18"/>
      <c r="W51" s="18"/>
      <c r="X51" s="18"/>
      <c r="Y51" s="18"/>
      <c r="Z51" s="18"/>
      <c r="AA51" s="18"/>
      <c r="AB51" s="57"/>
      <c r="AC51" s="57"/>
      <c r="AD51" s="57"/>
      <c r="AE51" s="12">
        <v>50</v>
      </c>
    </row>
    <row r="52" spans="1:31" ht="18.75">
      <c r="A52" s="142"/>
      <c r="B52" s="145"/>
      <c r="C52" s="206" t="s">
        <v>79</v>
      </c>
      <c r="D52" s="207"/>
      <c r="E52" s="208"/>
      <c r="F52" s="144">
        <f>IF(F50&gt;0,ROUNDUP(F51/$M$54,0),0)</f>
        <v>0</v>
      </c>
      <c r="G52" s="139"/>
      <c r="H52" s="165"/>
      <c r="I52" s="164"/>
      <c r="M52" s="184" t="s">
        <v>174</v>
      </c>
      <c r="N52" s="17" t="s">
        <v>13</v>
      </c>
      <c r="O52" s="18">
        <f>IF($C$55=$M$3,O25,0)</f>
        <v>0</v>
      </c>
      <c r="P52" s="18">
        <f>IF($C$55=$M$4,P25,0)</f>
        <v>0</v>
      </c>
      <c r="Q52" s="18">
        <f>IF($C$55=$M$5,Q25,0)</f>
        <v>0</v>
      </c>
      <c r="R52" s="18">
        <f>IF($C$55=$M$6,R25,0)</f>
        <v>0</v>
      </c>
      <c r="S52" s="18">
        <f>IF($C$55=$M$7,S25,0)</f>
        <v>0</v>
      </c>
      <c r="T52" s="18">
        <f>IF($C$55=$M$8,T25,0)</f>
        <v>0</v>
      </c>
      <c r="U52" s="18">
        <f>IF($C$55=$M$9,U25,0)</f>
        <v>0</v>
      </c>
      <c r="V52" s="18">
        <f>IF($C$55=$M$110,V25,0)</f>
        <v>0</v>
      </c>
      <c r="W52" s="18">
        <f>IF($C$55=$M$11,W25,0)</f>
        <v>0</v>
      </c>
      <c r="X52" s="18">
        <f>IF($C$55=$M$12,X25,0)</f>
        <v>0</v>
      </c>
      <c r="Y52" s="18">
        <f>IF($C$55=$M$13,Y25,0)</f>
        <v>0</v>
      </c>
      <c r="Z52" s="18">
        <f>IF($C$55=$M$14,Z25,0)</f>
        <v>0</v>
      </c>
      <c r="AA52" s="18">
        <f>IF($C$55=$M$15,AA25,0)</f>
        <v>0</v>
      </c>
      <c r="AB52" s="18">
        <f>IF($C$55=$M$16,AB25,0)</f>
        <v>704</v>
      </c>
      <c r="AC52" s="18">
        <f>IF($C$55=$M$17,AC25,0)</f>
        <v>0</v>
      </c>
      <c r="AD52" s="18">
        <f>IF($C$55=$M$18,AD25,0)</f>
        <v>0</v>
      </c>
      <c r="AE52" s="12">
        <v>51</v>
      </c>
    </row>
    <row r="53" spans="1:31" ht="18.75">
      <c r="A53" s="148"/>
      <c r="B53" s="143"/>
      <c r="C53" s="209" t="s">
        <v>80</v>
      </c>
      <c r="D53" s="210"/>
      <c r="E53" s="211"/>
      <c r="F53" s="161">
        <f>IF(F47&gt;1,F49*(F47-1)+F52,F49)</f>
        <v>0</v>
      </c>
      <c r="G53" s="139"/>
      <c r="H53" s="165"/>
      <c r="I53" s="164"/>
      <c r="M53" s="184" t="s">
        <v>175</v>
      </c>
      <c r="N53" s="43" t="s">
        <v>14</v>
      </c>
      <c r="O53" s="44"/>
      <c r="P53" s="44"/>
      <c r="Q53" s="44"/>
      <c r="R53" s="44"/>
      <c r="S53" s="44"/>
      <c r="T53" s="44"/>
      <c r="U53" s="44"/>
      <c r="V53" s="44"/>
      <c r="W53" s="44"/>
      <c r="X53" s="44"/>
      <c r="Y53" s="44"/>
      <c r="Z53" s="44"/>
      <c r="AA53" s="44"/>
      <c r="AB53" s="58"/>
      <c r="AC53" s="58"/>
      <c r="AD53" s="58"/>
      <c r="AE53" s="12">
        <v>52</v>
      </c>
    </row>
    <row r="54" spans="1:31" ht="17.25">
      <c r="A54" s="170"/>
      <c r="B54" s="165"/>
      <c r="C54" s="171"/>
      <c r="D54" s="171"/>
      <c r="E54" s="171"/>
      <c r="F54" s="171"/>
      <c r="G54" s="139"/>
      <c r="H54" s="165"/>
      <c r="I54" s="164"/>
      <c r="M54" s="15">
        <f>IF(OR($D$15=$M$45,$D$15=$M$49),1000,IF(OR($D$15=$M$46,$D$15=$M$47,$D$15=$M$48,$D$15=$M$50,$D$15=$M$51),2000,IF(OR($D$15=$M$53,$D$15=$M$52),3000,2000)))</f>
        <v>2000</v>
      </c>
      <c r="N54" s="15"/>
      <c r="O54" s="15"/>
      <c r="P54" s="15"/>
      <c r="Q54" s="15"/>
      <c r="R54" s="15"/>
      <c r="S54" s="15"/>
      <c r="T54" s="15"/>
      <c r="U54" s="15"/>
      <c r="V54" s="15"/>
      <c r="W54" s="15"/>
      <c r="X54" s="15"/>
      <c r="Y54" s="15"/>
      <c r="Z54" s="15"/>
      <c r="AA54" s="15"/>
      <c r="AB54" s="15"/>
      <c r="AC54" s="15"/>
      <c r="AD54" s="15"/>
      <c r="AE54" s="12">
        <v>53</v>
      </c>
    </row>
    <row r="55" spans="1:31" ht="20.25">
      <c r="A55" s="134">
        <v>5</v>
      </c>
      <c r="B55" s="135"/>
      <c r="C55" s="136" t="s">
        <v>2</v>
      </c>
      <c r="D55" s="137" t="s">
        <v>62</v>
      </c>
      <c r="E55" s="138">
        <v>5</v>
      </c>
      <c r="F55" s="182">
        <v>0</v>
      </c>
      <c r="G55" s="139"/>
      <c r="H55" s="165"/>
      <c r="I55" s="164"/>
      <c r="N55" s="15" t="s">
        <v>108</v>
      </c>
      <c r="O55" s="15"/>
      <c r="P55" s="15"/>
      <c r="Q55" s="15"/>
      <c r="R55" s="15"/>
      <c r="S55" s="15"/>
      <c r="T55" s="15"/>
      <c r="U55" s="15"/>
      <c r="V55" s="15"/>
      <c r="W55" s="15"/>
      <c r="X55" s="15"/>
      <c r="Y55" s="15"/>
      <c r="Z55" s="15"/>
      <c r="AA55" s="15"/>
      <c r="AB55" s="15"/>
      <c r="AC55" s="15"/>
      <c r="AD55" s="15"/>
      <c r="AE55" s="12">
        <v>54</v>
      </c>
    </row>
    <row r="56" spans="1:31" ht="17.25">
      <c r="A56" s="142"/>
      <c r="B56" s="143"/>
      <c r="C56" s="212" t="s">
        <v>67</v>
      </c>
      <c r="D56" s="213"/>
      <c r="E56" s="214"/>
      <c r="F56" s="144">
        <f>IF(F55&lt;&gt;0,F55,IF(D55=M19,SUM(O52:AD52)*E55*8/1000,IF(D55=M20,((SUM(O52:AD52)*(E55*2-1)*8/1000/5+SUM(O52:AD52)*8/1000)/2)*5/6,IF(D55=M21,(SUM(O52:AD52)*(E55*2-1)*8/1000/5+SUM(O52:AD52)*8/1000)/2,"error"))))</f>
        <v>6.5706666666666669</v>
      </c>
      <c r="G56" s="139"/>
      <c r="H56" s="165"/>
      <c r="I56" s="164"/>
      <c r="N56" s="15"/>
      <c r="O56" s="15"/>
      <c r="P56" s="15"/>
      <c r="Q56" s="15"/>
      <c r="R56" s="15"/>
      <c r="S56" s="15"/>
      <c r="T56" s="15"/>
      <c r="U56" s="15"/>
      <c r="V56" s="15"/>
      <c r="W56" s="15"/>
      <c r="X56" s="15"/>
      <c r="Y56" s="15"/>
      <c r="Z56" s="15"/>
      <c r="AA56" s="15"/>
      <c r="AB56" s="15"/>
      <c r="AC56" s="15"/>
      <c r="AD56" s="15"/>
      <c r="AE56" s="12">
        <v>55</v>
      </c>
    </row>
    <row r="57" spans="1:31" ht="17.25">
      <c r="A57" s="142"/>
      <c r="B57" s="145"/>
      <c r="C57" s="206" t="s">
        <v>68</v>
      </c>
      <c r="D57" s="207"/>
      <c r="E57" s="208"/>
      <c r="F57" s="144">
        <f>ROUNDUP(F56*60*60*$H$6*($H$7/100)/1000/8*1.1,2)</f>
        <v>78.06</v>
      </c>
      <c r="G57" s="139"/>
      <c r="H57" s="165"/>
      <c r="I57" s="164"/>
      <c r="N57" s="15"/>
      <c r="O57" s="15"/>
      <c r="P57" s="15"/>
      <c r="Q57" s="15"/>
      <c r="R57" s="15"/>
      <c r="S57" s="15"/>
      <c r="T57" s="15"/>
      <c r="U57" s="15"/>
      <c r="V57" s="15"/>
      <c r="W57" s="15"/>
      <c r="X57" s="15"/>
      <c r="Y57" s="15"/>
      <c r="Z57" s="15"/>
      <c r="AA57" s="15"/>
      <c r="AB57" s="15"/>
      <c r="AC57" s="15"/>
      <c r="AD57" s="15"/>
      <c r="AE57" s="12">
        <v>56</v>
      </c>
    </row>
    <row r="58" spans="1:31" ht="17.25">
      <c r="A58" s="148" t="s">
        <v>69</v>
      </c>
      <c r="B58" s="166">
        <v>0</v>
      </c>
      <c r="C58" s="206" t="s">
        <v>70</v>
      </c>
      <c r="D58" s="207"/>
      <c r="E58" s="208"/>
      <c r="F58" s="144">
        <f>F57*$B58</f>
        <v>0</v>
      </c>
      <c r="G58" s="139"/>
      <c r="H58" s="165"/>
      <c r="I58" s="164"/>
      <c r="N58" s="15"/>
      <c r="O58" s="15"/>
      <c r="P58" s="15"/>
      <c r="Q58" s="15"/>
      <c r="R58" s="15"/>
      <c r="S58" s="15"/>
      <c r="T58" s="15"/>
      <c r="U58" s="15"/>
      <c r="V58" s="15"/>
      <c r="W58" s="15"/>
      <c r="X58" s="15"/>
      <c r="Y58" s="15"/>
      <c r="Z58" s="15"/>
      <c r="AA58" s="15"/>
      <c r="AB58" s="15"/>
      <c r="AC58" s="15"/>
      <c r="AD58" s="15"/>
      <c r="AE58" s="12">
        <v>57</v>
      </c>
    </row>
    <row r="59" spans="1:31" ht="17.25">
      <c r="A59" s="142"/>
      <c r="B59" s="145"/>
      <c r="C59" s="206" t="s">
        <v>72</v>
      </c>
      <c r="D59" s="207"/>
      <c r="E59" s="208"/>
      <c r="F59" s="144">
        <f>IF(B58=0,1,SUM(ROUNDUP(B58/F60,0)))</f>
        <v>1</v>
      </c>
      <c r="G59" s="139"/>
      <c r="H59" s="165"/>
      <c r="I59" s="164"/>
      <c r="N59" s="15"/>
      <c r="O59" s="15"/>
      <c r="P59" s="15"/>
      <c r="Q59" s="15"/>
      <c r="R59" s="15"/>
      <c r="S59" s="15"/>
      <c r="T59" s="15"/>
      <c r="U59" s="15"/>
      <c r="V59" s="15"/>
      <c r="W59" s="15"/>
      <c r="X59" s="15"/>
      <c r="Y59" s="15"/>
      <c r="Z59" s="15"/>
      <c r="AA59" s="15"/>
      <c r="AB59" s="15"/>
      <c r="AC59" s="15"/>
      <c r="AD59" s="15"/>
      <c r="AE59" s="12">
        <v>58</v>
      </c>
    </row>
    <row r="60" spans="1:31" ht="17.25">
      <c r="A60" s="142"/>
      <c r="B60" s="145"/>
      <c r="C60" s="206" t="s">
        <v>74</v>
      </c>
      <c r="D60" s="207"/>
      <c r="E60" s="208"/>
      <c r="F60" s="144">
        <f>IF(F56&lt;L1,ROUNDUP(B58/L11,0),IF(F56&lt;L2,ROUNDUP(B58/L12,0),IF(F56&lt;L3,ROUNDUP(B58/L13,0),IF(F56&lt;L4,ROUNDUP(B58/L14,0),IF(F56&lt;L5,ROUNDUP(B58/L15,0),IF(F56&lt;L6,ROUNDUP(B58/L16,0),IF(F56&lt;L7,ROUNDUP(B58/L17,0),IF(F56&lt;L8,ROUNDUP(B58/L18,0)," "))))))))</f>
        <v>0</v>
      </c>
      <c r="G60" s="139"/>
      <c r="H60" s="165"/>
      <c r="I60" s="164"/>
      <c r="N60" s="15"/>
      <c r="O60" s="15"/>
      <c r="P60" s="15"/>
      <c r="Q60" s="15"/>
      <c r="R60" s="15"/>
      <c r="S60" s="15"/>
      <c r="T60" s="15"/>
      <c r="U60" s="15"/>
      <c r="V60" s="15"/>
      <c r="W60" s="15"/>
      <c r="X60" s="15"/>
      <c r="Y60" s="15"/>
      <c r="Z60" s="15"/>
      <c r="AA60" s="15"/>
      <c r="AB60" s="15"/>
      <c r="AC60" s="15"/>
      <c r="AD60" s="15"/>
      <c r="AE60" s="12">
        <v>59</v>
      </c>
    </row>
    <row r="61" spans="1:31" ht="17.25">
      <c r="A61" s="142"/>
      <c r="B61" s="169">
        <v>0</v>
      </c>
      <c r="C61" s="206" t="s">
        <v>75</v>
      </c>
      <c r="D61" s="207"/>
      <c r="E61" s="208"/>
      <c r="F61" s="144">
        <f>IF(F59&gt;B58,F57*B58*$B61,F57*F59*$B61)</f>
        <v>0</v>
      </c>
      <c r="G61" s="139"/>
      <c r="H61" s="165"/>
      <c r="I61" s="164"/>
      <c r="N61" s="15"/>
      <c r="O61" s="15"/>
      <c r="P61" s="15"/>
      <c r="Q61" s="15"/>
      <c r="R61" s="15"/>
      <c r="S61" s="15"/>
      <c r="T61" s="15"/>
      <c r="U61" s="15"/>
      <c r="V61" s="15"/>
      <c r="W61" s="15"/>
      <c r="X61" s="15"/>
      <c r="Y61" s="15"/>
      <c r="Z61" s="15"/>
      <c r="AA61" s="15"/>
      <c r="AB61" s="15"/>
      <c r="AC61" s="15"/>
      <c r="AD61" s="15"/>
      <c r="AE61" s="12">
        <v>60</v>
      </c>
    </row>
    <row r="62" spans="1:31" ht="17.25">
      <c r="A62" s="142"/>
      <c r="B62" s="145"/>
      <c r="C62" s="206" t="s">
        <v>76</v>
      </c>
      <c r="D62" s="207"/>
      <c r="E62" s="208"/>
      <c r="F62" s="144">
        <f>ROUNDUP(F61/$M$54,0)</f>
        <v>0</v>
      </c>
      <c r="G62" s="139"/>
      <c r="H62" s="165"/>
      <c r="I62" s="164"/>
      <c r="AE62" s="12">
        <v>61</v>
      </c>
    </row>
    <row r="63" spans="1:31" ht="17.25">
      <c r="A63" s="142"/>
      <c r="B63" s="145"/>
      <c r="C63" s="206" t="s">
        <v>77</v>
      </c>
      <c r="D63" s="207"/>
      <c r="E63" s="208"/>
      <c r="F63" s="144">
        <f>IF(F60&gt;1,B58-(F60-1)*F59,0)</f>
        <v>0</v>
      </c>
      <c r="G63" s="139"/>
      <c r="H63" s="165"/>
      <c r="I63" s="164"/>
      <c r="AE63" s="12">
        <v>62</v>
      </c>
    </row>
    <row r="64" spans="1:31" ht="17.25">
      <c r="A64" s="142"/>
      <c r="B64" s="157">
        <f>B61</f>
        <v>0</v>
      </c>
      <c r="C64" s="206" t="s">
        <v>78</v>
      </c>
      <c r="D64" s="207"/>
      <c r="E64" s="208"/>
      <c r="F64" s="144">
        <f>F57*F63*$B64</f>
        <v>0</v>
      </c>
      <c r="G64" s="139"/>
      <c r="H64" s="165"/>
      <c r="I64" s="164"/>
      <c r="AE64" s="12">
        <v>63</v>
      </c>
    </row>
    <row r="65" spans="1:31" ht="17.25">
      <c r="A65" s="142"/>
      <c r="B65" s="145"/>
      <c r="C65" s="206" t="s">
        <v>79</v>
      </c>
      <c r="D65" s="207"/>
      <c r="E65" s="208"/>
      <c r="F65" s="144">
        <f>IF(F63&gt;0,ROUNDUP(F64/$M$54,0),0)</f>
        <v>0</v>
      </c>
      <c r="G65" s="139"/>
      <c r="H65" s="165"/>
      <c r="I65" s="164"/>
      <c r="AE65" s="12">
        <v>64</v>
      </c>
    </row>
    <row r="66" spans="1:31" ht="17.25">
      <c r="A66" s="148"/>
      <c r="B66" s="143"/>
      <c r="C66" s="209" t="s">
        <v>80</v>
      </c>
      <c r="D66" s="210"/>
      <c r="E66" s="211"/>
      <c r="F66" s="161">
        <f>IF(F60&gt;1,F62*(F60-1)+F65,F62)</f>
        <v>0</v>
      </c>
      <c r="G66" s="139"/>
      <c r="H66" s="165"/>
      <c r="I66" s="164"/>
      <c r="AE66" s="12">
        <v>65</v>
      </c>
    </row>
    <row r="67" spans="1:31" ht="18" thickBot="1">
      <c r="A67" s="172"/>
      <c r="B67" s="173"/>
      <c r="C67" s="174"/>
      <c r="D67" s="174"/>
      <c r="E67" s="174"/>
      <c r="F67" s="174"/>
      <c r="G67" s="174"/>
      <c r="H67" s="175"/>
      <c r="I67" s="176"/>
      <c r="AE67" s="12">
        <v>66</v>
      </c>
    </row>
    <row r="68" spans="1:31" ht="17.25">
      <c r="AE68" s="12">
        <v>67</v>
      </c>
    </row>
    <row r="69" spans="1:31" ht="17.25">
      <c r="AE69" s="12">
        <v>68</v>
      </c>
    </row>
    <row r="70" spans="1:31" ht="17.25">
      <c r="AE70" s="12">
        <v>69</v>
      </c>
    </row>
    <row r="71" spans="1:31" ht="17.25">
      <c r="AE71" s="12">
        <v>70</v>
      </c>
    </row>
    <row r="72" spans="1:31" ht="17.25">
      <c r="AE72" s="12">
        <v>71</v>
      </c>
    </row>
    <row r="73" spans="1:31" ht="17.25">
      <c r="AE73" s="12">
        <v>72</v>
      </c>
    </row>
    <row r="74" spans="1:31" ht="17.25">
      <c r="AE74" s="12">
        <v>73</v>
      </c>
    </row>
    <row r="75" spans="1:31" ht="17.25">
      <c r="AE75" s="12">
        <v>74</v>
      </c>
    </row>
    <row r="76" spans="1:31" ht="17.25">
      <c r="AE76" s="12">
        <v>75</v>
      </c>
    </row>
    <row r="77" spans="1:31" ht="17.25">
      <c r="AE77" s="12">
        <v>76</v>
      </c>
    </row>
    <row r="78" spans="1:31" ht="17.25">
      <c r="AE78" s="12">
        <v>77</v>
      </c>
    </row>
    <row r="79" spans="1:31" ht="17.25">
      <c r="AE79" s="12">
        <v>78</v>
      </c>
    </row>
    <row r="80" spans="1:31" ht="17.25">
      <c r="AE80" s="12">
        <v>79</v>
      </c>
    </row>
    <row r="81" spans="31:31" ht="17.25">
      <c r="AE81" s="12">
        <v>80</v>
      </c>
    </row>
    <row r="82" spans="31:31" ht="17.25">
      <c r="AE82" s="12">
        <v>81</v>
      </c>
    </row>
    <row r="83" spans="31:31" ht="17.25">
      <c r="AE83" s="12">
        <v>82</v>
      </c>
    </row>
    <row r="84" spans="31:31" ht="17.25">
      <c r="AE84" s="12">
        <v>83</v>
      </c>
    </row>
    <row r="85" spans="31:31" ht="17.25">
      <c r="AE85" s="12">
        <v>84</v>
      </c>
    </row>
    <row r="86" spans="31:31" ht="17.25">
      <c r="AE86" s="12">
        <v>85</v>
      </c>
    </row>
    <row r="87" spans="31:31" ht="17.25">
      <c r="AE87" s="12">
        <v>86</v>
      </c>
    </row>
    <row r="88" spans="31:31" ht="17.25">
      <c r="AE88" s="12">
        <v>87</v>
      </c>
    </row>
    <row r="89" spans="31:31" ht="17.25">
      <c r="AE89" s="12">
        <v>88</v>
      </c>
    </row>
  </sheetData>
  <sheetProtection password="C517" sheet="1" objects="1" scenarios="1"/>
  <mergeCells count="58">
    <mergeCell ref="H1:I1"/>
    <mergeCell ref="C63:E63"/>
    <mergeCell ref="C64:E64"/>
    <mergeCell ref="C65:E65"/>
    <mergeCell ref="C66:E66"/>
    <mergeCell ref="C57:E57"/>
    <mergeCell ref="C58:E58"/>
    <mergeCell ref="C59:E59"/>
    <mergeCell ref="C60:E60"/>
    <mergeCell ref="C61:E61"/>
    <mergeCell ref="C62:E62"/>
    <mergeCell ref="C56:E56"/>
    <mergeCell ref="C43:E43"/>
    <mergeCell ref="C44:E44"/>
    <mergeCell ref="C45:E45"/>
    <mergeCell ref="C46:E46"/>
    <mergeCell ref="C53:E53"/>
    <mergeCell ref="C4:E4"/>
    <mergeCell ref="C5:E5"/>
    <mergeCell ref="C6:E6"/>
    <mergeCell ref="C7:E7"/>
    <mergeCell ref="C8:E8"/>
    <mergeCell ref="C9:E9"/>
    <mergeCell ref="C10:E10"/>
    <mergeCell ref="C11:E11"/>
    <mergeCell ref="C12:E12"/>
    <mergeCell ref="C13:E13"/>
    <mergeCell ref="C14:E14"/>
    <mergeCell ref="C18:E18"/>
    <mergeCell ref="C17:E17"/>
    <mergeCell ref="C19:E19"/>
    <mergeCell ref="C47:E47"/>
    <mergeCell ref="C52:E52"/>
    <mergeCell ref="C48:E48"/>
    <mergeCell ref="C49:E49"/>
    <mergeCell ref="C50:E50"/>
    <mergeCell ref="C51:E51"/>
    <mergeCell ref="C20:E20"/>
    <mergeCell ref="C21:E21"/>
    <mergeCell ref="C22:E22"/>
    <mergeCell ref="C23:E23"/>
    <mergeCell ref="C24:E24"/>
    <mergeCell ref="G16:I17"/>
    <mergeCell ref="A1:B1"/>
    <mergeCell ref="C38:E38"/>
    <mergeCell ref="C39:E39"/>
    <mergeCell ref="C40:E40"/>
    <mergeCell ref="C32:E32"/>
    <mergeCell ref="C33:E33"/>
    <mergeCell ref="C34:E34"/>
    <mergeCell ref="C35:E35"/>
    <mergeCell ref="C36:E36"/>
    <mergeCell ref="C37:E37"/>
    <mergeCell ref="C25:E25"/>
    <mergeCell ref="C26:E26"/>
    <mergeCell ref="C27:E27"/>
    <mergeCell ref="C30:E30"/>
    <mergeCell ref="C31:E31"/>
  </mergeCells>
  <phoneticPr fontId="14" type="noConversion"/>
  <dataValidations xWindow="1019" yWindow="406" count="14">
    <dataValidation type="whole" allowBlank="1" showInputMessage="1" showErrorMessage="1" sqref="B22 B35 B9 B48 B61">
      <formula1>0</formula1>
      <formula2>365</formula2>
    </dataValidation>
    <dataValidation type="whole" allowBlank="1" showInputMessage="1" showErrorMessage="1" sqref="B19 B32 B58 B45">
      <formula1>0</formula1>
      <formula2>64</formula2>
    </dataValidation>
    <dataValidation type="list" allowBlank="1" showInputMessage="1" showErrorMessage="1" sqref="D55 D29 D16 D42 D3">
      <formula1>$M$19:$M$21</formula1>
    </dataValidation>
    <dataValidation type="list" allowBlank="1" showInputMessage="1" showErrorMessage="1" sqref="C55">
      <formula1>$M$3:$M$18</formula1>
    </dataValidation>
    <dataValidation type="list" allowBlank="1" showInputMessage="1" showErrorMessage="1" sqref="E29 E55 E42 E16 E3">
      <formula1>$AG$2:$AG$34</formula1>
    </dataValidation>
    <dataValidation type="whole" allowBlank="1" showInputMessage="1" showErrorMessage="1" promptTitle="Recording Hours" prompt="Enter the hours for recording each day" sqref="H6">
      <formula1>0</formula1>
      <formula2>24</formula2>
    </dataValidation>
    <dataValidation type="whole" allowBlank="1" showInputMessage="1" showErrorMessage="1" promptTitle="Motion recording percentage" prompt="The percentage of the motion recording each day (100% for 24x7 recording)" sqref="H7">
      <formula1>0</formula1>
      <formula2>100</formula2>
    </dataValidation>
    <dataValidation type="list" allowBlank="1" showInputMessage="1" showErrorMessage="1" promptTitle="HDD Size Used" prompt="Please select the HDD size for the calculation" sqref="H5">
      <formula1>$M$45:$M$53</formula1>
    </dataValidation>
    <dataValidation type="decimal" allowBlank="1" showInputMessage="1" showErrorMessage="1" promptTitle="Bit Rate (Mb/Sec)" prompt="Bit rate used for each camera with the above camera type, compression, and frame rate" sqref="F17 F30 F4 F43 F56">
      <formula1>0</formula1>
      <formula2>50</formula2>
    </dataValidation>
    <dataValidation type="list" allowBlank="1" showInputMessage="1" showErrorMessage="1" sqref="B6">
      <formula1>$AE$2:$AE$65</formula1>
    </dataValidation>
    <dataValidation type="list" allowBlank="1" showInputMessage="1" showErrorMessage="1" sqref="C1">
      <formula1>$M$30:$M$32</formula1>
    </dataValidation>
    <dataValidation type="list" allowBlank="1" showInputMessage="1" showErrorMessage="1" sqref="C3 C16 C29 C42">
      <formula1>$M$3:$M$18</formula1>
    </dataValidation>
    <dataValidation type="list" allowBlank="1" showInputMessage="1" sqref="F16">
      <formula1>$AH$1:$AH$17</formula1>
    </dataValidation>
    <dataValidation type="list" allowBlank="1" showInputMessage="1" sqref="F3 F55 F42 F29">
      <formula1>$AH$1:$AH$17</formula1>
    </dataValidation>
  </dataValidations>
  <pageMargins left="0.7" right="0.7" top="0.75" bottom="0.75" header="0.3" footer="0.3"/>
  <pageSetup paperSize="9" orientation="portrait" verticalDpi="0" r:id="rId1"/>
  <ignoredErrors>
    <ignoredError sqref="I5:I7"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6"/>
  <sheetViews>
    <sheetView topLeftCell="A19" zoomScaleNormal="100" workbookViewId="0">
      <selection activeCell="F29" sqref="F29"/>
    </sheetView>
  </sheetViews>
  <sheetFormatPr defaultRowHeight="15.75"/>
  <cols>
    <col min="1" max="1" width="23.375" customWidth="1"/>
    <col min="2" max="4" width="18.5" style="3" customWidth="1"/>
    <col min="5" max="5" width="21.125" style="3" customWidth="1"/>
    <col min="6" max="6" width="18.5" style="3" customWidth="1"/>
    <col min="7" max="7" width="20.5" style="3" customWidth="1"/>
    <col min="8" max="8" width="20.875" style="3" customWidth="1"/>
    <col min="9" max="9" width="20" style="3" customWidth="1"/>
    <col min="10" max="15" width="18.5" style="3" customWidth="1"/>
    <col min="16" max="16" width="20.25" customWidth="1"/>
    <col min="17" max="17" width="18.5" customWidth="1"/>
    <col min="18" max="18" width="20.625" customWidth="1"/>
    <col min="19" max="19" width="15.875" customWidth="1"/>
    <col min="20" max="20" width="22.75" customWidth="1"/>
    <col min="21" max="21" width="10.75" customWidth="1"/>
  </cols>
  <sheetData>
    <row r="1" spans="1:26" ht="16.5" thickBot="1">
      <c r="A1" s="106" t="s">
        <v>82</v>
      </c>
      <c r="B1" s="107"/>
      <c r="C1" s="107"/>
      <c r="D1" s="107"/>
      <c r="E1" s="107"/>
      <c r="F1" s="107"/>
      <c r="G1" s="107"/>
      <c r="H1" s="107"/>
      <c r="I1" s="107"/>
      <c r="J1" s="107"/>
      <c r="K1" s="107"/>
      <c r="L1" s="107"/>
      <c r="M1" s="107"/>
      <c r="N1" s="107"/>
      <c r="O1" s="107"/>
      <c r="P1" s="107"/>
    </row>
    <row r="2" spans="1:26" ht="18" thickTop="1">
      <c r="A2" s="29" t="s">
        <v>83</v>
      </c>
      <c r="B2" s="108">
        <v>16</v>
      </c>
      <c r="C2" s="108">
        <v>12</v>
      </c>
      <c r="D2" s="108">
        <v>8</v>
      </c>
      <c r="E2" s="108">
        <v>4</v>
      </c>
      <c r="F2" s="108">
        <v>6</v>
      </c>
      <c r="G2" s="108">
        <v>6</v>
      </c>
      <c r="H2" s="108">
        <v>6</v>
      </c>
      <c r="I2" s="108">
        <v>6</v>
      </c>
      <c r="J2" s="108">
        <v>4</v>
      </c>
      <c r="K2" s="108">
        <v>4</v>
      </c>
      <c r="L2" s="108">
        <v>4</v>
      </c>
      <c r="M2" s="108">
        <v>5</v>
      </c>
      <c r="N2" s="108">
        <v>5</v>
      </c>
      <c r="O2" s="108">
        <v>5</v>
      </c>
      <c r="P2" s="109">
        <v>2</v>
      </c>
      <c r="Q2" s="109">
        <v>2</v>
      </c>
      <c r="R2" s="109">
        <v>2</v>
      </c>
      <c r="S2" s="110">
        <v>1</v>
      </c>
      <c r="T2" s="108">
        <v>2</v>
      </c>
      <c r="U2" s="109">
        <v>2</v>
      </c>
      <c r="V2" s="109">
        <v>2</v>
      </c>
    </row>
    <row r="3" spans="1:26" ht="17.25">
      <c r="A3" s="33" t="s">
        <v>84</v>
      </c>
      <c r="B3" s="34">
        <v>64</v>
      </c>
      <c r="C3" s="34">
        <v>48</v>
      </c>
      <c r="D3" s="34">
        <v>32</v>
      </c>
      <c r="E3" s="34">
        <v>32</v>
      </c>
      <c r="F3" s="34">
        <v>48</v>
      </c>
      <c r="G3" s="34">
        <v>32</v>
      </c>
      <c r="H3" s="34">
        <v>24</v>
      </c>
      <c r="I3" s="34">
        <v>16</v>
      </c>
      <c r="J3" s="34">
        <v>32</v>
      </c>
      <c r="K3" s="34">
        <v>24</v>
      </c>
      <c r="L3" s="34">
        <v>16</v>
      </c>
      <c r="M3" s="34">
        <v>32</v>
      </c>
      <c r="N3" s="34">
        <v>24</v>
      </c>
      <c r="O3" s="34">
        <v>16</v>
      </c>
      <c r="P3" s="34">
        <v>12</v>
      </c>
      <c r="Q3" s="34">
        <v>8</v>
      </c>
      <c r="R3" s="34">
        <v>4</v>
      </c>
      <c r="S3" s="35">
        <v>4</v>
      </c>
      <c r="T3" s="34">
        <v>16</v>
      </c>
      <c r="U3" s="34">
        <v>12</v>
      </c>
      <c r="V3" s="34">
        <v>8</v>
      </c>
    </row>
    <row r="4" spans="1:26" ht="17.25">
      <c r="A4" s="17" t="s">
        <v>85</v>
      </c>
      <c r="B4" s="111" t="s">
        <v>86</v>
      </c>
      <c r="C4" s="111" t="s">
        <v>87</v>
      </c>
      <c r="D4" s="111" t="s">
        <v>88</v>
      </c>
      <c r="E4" s="111" t="s">
        <v>89</v>
      </c>
      <c r="F4" s="111" t="s">
        <v>191</v>
      </c>
      <c r="G4" s="111" t="s">
        <v>188</v>
      </c>
      <c r="H4" s="111" t="s">
        <v>189</v>
      </c>
      <c r="I4" s="111" t="s">
        <v>190</v>
      </c>
      <c r="J4" s="111" t="s">
        <v>90</v>
      </c>
      <c r="K4" s="111" t="s">
        <v>116</v>
      </c>
      <c r="L4" s="111" t="s">
        <v>117</v>
      </c>
      <c r="M4" s="111" t="s">
        <v>118</v>
      </c>
      <c r="N4" s="111" t="s">
        <v>91</v>
      </c>
      <c r="O4" s="111" t="s">
        <v>92</v>
      </c>
      <c r="P4" s="111" t="s">
        <v>173</v>
      </c>
      <c r="Q4" s="112" t="s">
        <v>172</v>
      </c>
      <c r="R4" s="111" t="s">
        <v>171</v>
      </c>
      <c r="S4" s="113" t="s">
        <v>114</v>
      </c>
      <c r="T4" s="111" t="s">
        <v>169</v>
      </c>
      <c r="U4" s="111" t="s">
        <v>169</v>
      </c>
      <c r="V4" s="112" t="s">
        <v>170</v>
      </c>
    </row>
    <row r="5" spans="1:26" ht="17.25">
      <c r="A5" s="48" t="s">
        <v>93</v>
      </c>
      <c r="B5" s="100">
        <v>1</v>
      </c>
      <c r="C5" s="100">
        <v>1</v>
      </c>
      <c r="D5" s="100">
        <v>1</v>
      </c>
      <c r="E5" s="100">
        <v>1</v>
      </c>
      <c r="F5" s="100">
        <v>1</v>
      </c>
      <c r="G5" s="100">
        <v>1</v>
      </c>
      <c r="H5" s="100">
        <v>1</v>
      </c>
      <c r="I5" s="100">
        <v>1</v>
      </c>
      <c r="J5" s="100">
        <v>1</v>
      </c>
      <c r="K5" s="100">
        <v>1</v>
      </c>
      <c r="L5" s="100">
        <v>1</v>
      </c>
      <c r="M5" s="100">
        <v>0</v>
      </c>
      <c r="N5" s="100">
        <v>0</v>
      </c>
      <c r="O5" s="100">
        <v>0</v>
      </c>
      <c r="P5" s="100">
        <v>0</v>
      </c>
      <c r="Q5" s="114">
        <v>0</v>
      </c>
      <c r="R5" s="100">
        <v>0</v>
      </c>
      <c r="S5" s="115">
        <v>0</v>
      </c>
      <c r="T5" s="100">
        <v>0</v>
      </c>
      <c r="U5" s="100">
        <v>0</v>
      </c>
      <c r="V5" s="114">
        <v>0</v>
      </c>
    </row>
    <row r="6" spans="1:26" ht="17.25">
      <c r="A6" s="48" t="s">
        <v>94</v>
      </c>
      <c r="B6" s="116">
        <v>0</v>
      </c>
      <c r="C6" s="116">
        <v>0</v>
      </c>
      <c r="D6" s="116">
        <v>0</v>
      </c>
      <c r="E6" s="116">
        <v>0</v>
      </c>
      <c r="F6" s="116">
        <v>1</v>
      </c>
      <c r="G6" s="116">
        <v>1</v>
      </c>
      <c r="H6" s="116">
        <v>1</v>
      </c>
      <c r="I6" s="116">
        <v>1</v>
      </c>
      <c r="J6" s="116">
        <v>1</v>
      </c>
      <c r="K6" s="116">
        <v>1</v>
      </c>
      <c r="L6" s="116">
        <v>1</v>
      </c>
      <c r="M6" s="116">
        <v>0</v>
      </c>
      <c r="N6" s="116">
        <v>0</v>
      </c>
      <c r="O6" s="116">
        <v>0</v>
      </c>
      <c r="P6" s="114">
        <v>0</v>
      </c>
      <c r="Q6" s="114">
        <v>0</v>
      </c>
      <c r="R6" s="114">
        <v>0</v>
      </c>
      <c r="S6" s="115">
        <v>0</v>
      </c>
      <c r="T6" s="116">
        <v>1</v>
      </c>
      <c r="U6" s="114">
        <v>1</v>
      </c>
      <c r="V6" s="114">
        <v>1</v>
      </c>
    </row>
    <row r="7" spans="1:26" ht="17.25">
      <c r="A7" s="17" t="s">
        <v>95</v>
      </c>
      <c r="B7" s="116"/>
      <c r="C7" s="116"/>
      <c r="D7" s="116"/>
      <c r="E7" s="116"/>
      <c r="F7" s="116"/>
      <c r="G7" s="116"/>
      <c r="H7" s="116"/>
      <c r="I7" s="116"/>
      <c r="J7" s="116"/>
      <c r="K7" s="116"/>
      <c r="L7" s="116"/>
      <c r="M7" s="116"/>
      <c r="N7" s="116"/>
      <c r="O7" s="116"/>
      <c r="P7" s="114"/>
      <c r="Q7" s="114"/>
      <c r="R7" s="114"/>
      <c r="S7" s="115"/>
      <c r="T7" s="115"/>
    </row>
    <row r="8" spans="1:26" ht="17.25">
      <c r="A8" s="17" t="s">
        <v>96</v>
      </c>
      <c r="B8" s="111" t="str">
        <f>IF(AND('NVR Worksheet'!$C$1="Enterprise",B2&gt;='NVR Worksheet'!H4,B3&gt;='NVR Worksheet'!H3,'NVR Worksheet'!H4&gt;C2),B4,IF(AND('NVR Worksheet'!H3&gt;C3,B2&gt;='NVR Worksheet'!H4,B3&gt;='NVR Worksheet'!H3),B4,""))</f>
        <v/>
      </c>
      <c r="C8" s="111" t="str">
        <f>IF(AND('NVR Worksheet'!$C$1="Enterprise",C2&gt;='NVR Worksheet'!H4,C3&gt;='NVR Worksheet'!H3,'NVR Worksheet'!H4&gt;D2),C4,IF(AND('NVR Worksheet'!H3&gt;D3,C2&gt;='NVR Worksheet'!H4,C3&gt;='NVR Worksheet'!H3),C4,""))</f>
        <v/>
      </c>
      <c r="D8" s="111" t="str">
        <f>IF(AND('NVR Worksheet'!$C$1="Enterprise",D2&gt;='NVR Worksheet'!H4,D3&gt;='NVR Worksheet'!H3,'NVR Worksheet'!H4&gt;K2),D4,IF(AND('NVR Worksheet'!H3&gt;E3,D2&gt;='NVR Worksheet'!H4,D3&gt;='NVR Worksheet'!H3),D4,""))</f>
        <v/>
      </c>
      <c r="E8" s="111" t="str">
        <f>IF(AND('NVR Worksheet'!$C$1="Enterprise",E2&gt;='NVR Worksheet'!H4,E3&gt;='NVR Worksheet'!H3,'NVR Worksheet'!H3&gt;K3),E4,IF(AND(E2&gt;='NVR Worksheet'!H4,E3&gt;='NVR Worksheet'!H3),E4,""))</f>
        <v/>
      </c>
      <c r="F8" s="111" t="str">
        <f>IF(AND(F2&gt;='NVR Worksheet'!H4,F3&gt;='NVR Worksheet'!H3,'NVR Worksheet'!H3&gt;G3),F4,IF(AND('NVR Worksheet'!H3&gt;G3,F2&gt;='NVR Worksheet'!H4,F3&gt;='NVR Worksheet'!H3),F4,""))</f>
        <v/>
      </c>
      <c r="G8" s="111" t="str">
        <f>IF(J8&lt;&gt;"","",IF(AND(G2&gt;='NVR Worksheet'!H4,G3&gt;='NVR Worksheet'!H3,'NVR Worksheet'!H3&gt;H3),G4,IF(AND('NVR Worksheet'!H3&gt;H3,G2&gt;='NVR Worksheet'!H4,G3&gt;='NVR Worksheet'!H3),G4,"")))</f>
        <v/>
      </c>
      <c r="H8" s="111" t="str">
        <f>IF(K8&lt;&gt;"","",IF(AND(H2&gt;='NVR Worksheet'!H4,H3&gt;='NVR Worksheet'!H3,'NVR Worksheet'!H3&gt;I3),H4,IF(AND('NVR Worksheet'!H3&gt;I3,H2&gt;='NVR Worksheet'!H4,H3&gt;='NVR Worksheet'!H3),H4,"")))</f>
        <v/>
      </c>
      <c r="I8" s="111" t="str">
        <f>IF(L8&lt;&gt;"","",IF(AND(I2&gt;='NVR Worksheet'!H4,I3&gt;='NVR Worksheet'!H3,'NVR Worksheet'!H4&gt;M2),I4,IF(AND('NVR Worksheet'!H3&gt;P3,I2&gt;='NVR Worksheet'!H4,I3&gt;='NVR Worksheet'!H3),I4,"")))</f>
        <v/>
      </c>
      <c r="J8" s="111" t="str">
        <f>IF(AND(J2&gt;='NVR Worksheet'!H4,J3&gt;='NVR Worksheet'!H3,'NVR Worksheet'!H3&gt;K3),J4,IF(AND('NVR Worksheet'!H3&gt;K3,J2&gt;='NVR Worksheet'!H4,J3&gt;='NVR Worksheet'!H3),J4,""))</f>
        <v/>
      </c>
      <c r="K8" s="111" t="str">
        <f>IF(AND(K2&gt;='NVR Worksheet'!H4,K3&gt;='NVR Worksheet'!H3,'NVR Worksheet'!H3&gt;L3),K4,IF(AND('NVR Worksheet'!H3&gt;L3,K2&gt;='NVR Worksheet'!H4,K3&gt;='NVR Worksheet'!H3),K4,""))</f>
        <v/>
      </c>
      <c r="L8" s="111" t="str">
        <f>IF(AND(L2&gt;='NVR Worksheet'!H4,L3&gt;='NVR Worksheet'!H3,'NVR Worksheet'!H4&gt;P2),L4,IF(AND('NVR Worksheet'!H3&gt;P3,L2&gt;='NVR Worksheet'!H4,L3&gt;='NVR Worksheet'!H3),L4,""))</f>
        <v/>
      </c>
      <c r="M8" s="111" t="str">
        <f>IF(AND('NVR Worksheet'!$C$1="Standalone",M2&gt;='NVR Worksheet'!H4,M3&gt;='NVR Worksheet'!H3,'NVR Worksheet'!H3&gt;N3),M4,IF(AND('NVR Worksheet'!H3&gt;N3,M2&gt;='NVR Worksheet'!H4,M3&gt;='NVR Worksheet'!H3),M4,""))</f>
        <v/>
      </c>
      <c r="N8" s="111" t="str">
        <f>IF(AND('NVR Worksheet'!$C$1="Standalone",N2&gt;='NVR Worksheet'!H4,N3&gt;='NVR Worksheet'!H3,'NVR Worksheet'!H4&gt;O2),N4,IF(AND('NVR Worksheet'!H3&gt;O3,N2&gt;='NVR Worksheet'!H4,N3&gt;='NVR Worksheet'!H3),N4,""))</f>
        <v/>
      </c>
      <c r="O8" s="111" t="str">
        <f>IF(AND('NVR Worksheet'!$C$1="Standalone",O2&gt;='NVR Worksheet'!H4,O3&gt;='NVR Worksheet'!H3,'NVR Worksheet'!H4&gt;P2),O4,IF(AND('NVR Worksheet'!H3&gt;P3,O2&gt;='NVR Worksheet'!H4,O3&gt;='NVR Worksheet'!H3),O4,""))</f>
        <v/>
      </c>
      <c r="P8" s="111" t="str">
        <f>IF(AND('NVR Worksheet'!$C$1="Standalone",P2&gt;='NVR Worksheet'!H4,P3&gt;='NVR Worksheet'!H3,'NVR Worksheet'!H3&gt;Q3),P4,IF(AND('NVR Worksheet'!H3&gt;Q3,P2&gt;='NVR Worksheet'!H4,P3&gt;='NVR Worksheet'!H3),P4,""))</f>
        <v/>
      </c>
      <c r="Q8" s="111" t="str">
        <f>IF(AND('NVR Worksheet'!$C$1="Standalone",Q2&gt;='NVR Worksheet'!H4,Q3&gt;='NVR Worksheet'!H3,'NVR Worksheet'!H3&gt;R3),Q4,IF(AND('NVR Worksheet'!H3&gt;R3,Q2&gt;='NVR Worksheet'!H4,Q3&gt;='NVR Worksheet'!H3),Q4,""))</f>
        <v/>
      </c>
      <c r="R8" s="111" t="str">
        <f>IF(AND('NVR Worksheet'!$C$1="Standalone",R2='NVR Worksheet'!H4,R3&gt;='NVR Worksheet'!H3,'NVR Worksheet'!H3&gt;=1),R4,IF(AND('NVR Worksheet'!H3&gt;=1,R2&gt;='NVR Worksheet'!H4,R3&gt;='NVR Worksheet'!H3),R4,""))</f>
        <v/>
      </c>
      <c r="S8" s="111" t="str">
        <f>IF(AND('NVR Worksheet'!$C$1="Standalone",S2='NVR Worksheet'!H4,S3&gt;='NVR Worksheet'!H3,'NVR Worksheet'!H3&gt;=1),S4,IF(AND('NVR Worksheet'!H3&gt;=1,S2='NVR Worksheet'!H4,S3&gt;='NVR Worksheet'!H3),S4,""))</f>
        <v/>
      </c>
      <c r="T8" s="111" t="str">
        <f>IF(AND(T2&gt;='NVR Worksheet'!K4,T3&gt;='NVR Worksheet'!K3,'NVR Worksheet'!K4&gt;U2),T4,IF(AND('NVR Worksheet'!K3&gt;U3,T2&gt;='NVR Worksheet'!K4,T3&gt;='NVR Worksheet'!K3),T4,""))</f>
        <v/>
      </c>
      <c r="U8" s="111" t="str">
        <f>IF(AND(U2&gt;='NVR Worksheet'!H4,U3&gt;='NVR Worksheet'!H3,'NVR Worksheet'!H4&gt;V2),U4,IF(AND('NVR Worksheet'!H3&gt;V3,U2&gt;='NVR Worksheet'!H4,U3&gt;='NVR Worksheet'!H3),U4,""))</f>
        <v/>
      </c>
      <c r="V8" s="111" t="str">
        <f>IF(AND(V2&gt;='NVR Worksheet'!H4,V3&gt;='NVR Worksheet'!H3,'NVR Worksheet'!H4&gt;1),V4,IF(AND('NVR Worksheet'!H3&gt;4,V2&gt;='NVR Worksheet'!H4,V3&gt;='NVR Worksheet'!H3),V4,""))</f>
        <v/>
      </c>
      <c r="W8" t="str">
        <f>IF(OR('NVR Worksheet'!H4&gt;88,'NVR Worksheet'!H3&gt;64),"Add NVR","")</f>
        <v/>
      </c>
      <c r="X8" t="str">
        <f>IF(AND(J8="",K8="",L8="",F8="",G8="",H8="",I8=""),"No Supported NVR Model","")</f>
        <v>No Supported NVR Model</v>
      </c>
      <c r="Y8" s="127" t="str">
        <f>IF(AND('NVR Worksheet'!$C$1="Standalone",M8="",N8="",O8="",P8="",Q8="",R8="",S8=""),"No Supported Standalone NVR Model","")</f>
        <v/>
      </c>
      <c r="Z8" t="str">
        <f>IF(AND('NVR Worksheet'!$C$1="Enterprise",B8="",C8="",D8="",E8="",B29="",C29=""),"No Supported Enterprise NVR Model","")</f>
        <v/>
      </c>
    </row>
    <row r="9" spans="1:26" ht="17.25">
      <c r="A9" s="43"/>
      <c r="B9" s="111"/>
      <c r="C9" s="111"/>
      <c r="D9" s="111"/>
      <c r="E9" s="111"/>
      <c r="F9" s="111"/>
      <c r="G9" s="111"/>
      <c r="H9" s="111"/>
      <c r="I9" s="111"/>
      <c r="J9" s="111"/>
      <c r="K9" s="111"/>
      <c r="L9" s="111"/>
      <c r="M9" s="111"/>
      <c r="N9" s="111"/>
      <c r="O9" s="111"/>
      <c r="P9" s="111"/>
      <c r="Q9" s="111"/>
      <c r="R9" s="111"/>
      <c r="S9" s="111"/>
      <c r="T9" s="111"/>
      <c r="U9" s="111"/>
      <c r="V9" s="111"/>
    </row>
    <row r="10" spans="1:26" ht="17.25">
      <c r="A10" s="48"/>
      <c r="B10" s="100"/>
      <c r="C10" s="100"/>
      <c r="D10" s="100"/>
      <c r="E10" s="100"/>
      <c r="F10" s="100"/>
      <c r="G10" s="100"/>
      <c r="H10" s="100"/>
      <c r="I10" s="100"/>
      <c r="J10" s="100"/>
      <c r="K10" s="100"/>
      <c r="L10" s="114"/>
      <c r="M10" s="114"/>
      <c r="N10" s="114"/>
      <c r="O10" s="115"/>
      <c r="P10" s="115"/>
    </row>
    <row r="11" spans="1:26">
      <c r="A11" s="106"/>
      <c r="B11" s="107"/>
      <c r="C11" s="107"/>
      <c r="D11" s="107"/>
      <c r="E11" s="107"/>
      <c r="F11" s="107"/>
      <c r="G11" s="107"/>
      <c r="H11" s="107"/>
      <c r="I11" s="107"/>
      <c r="J11" s="107"/>
      <c r="K11" s="107"/>
      <c r="L11" s="107"/>
      <c r="M11" s="107"/>
      <c r="N11"/>
      <c r="O11"/>
    </row>
    <row r="12" spans="1:26" ht="16.5" thickBot="1">
      <c r="A12" s="106" t="s">
        <v>93</v>
      </c>
      <c r="B12" s="107"/>
      <c r="C12" s="107"/>
      <c r="D12" s="107"/>
      <c r="E12" s="107"/>
      <c r="F12" s="107"/>
      <c r="G12" s="107"/>
      <c r="H12" s="107"/>
      <c r="I12" s="107"/>
      <c r="J12" s="107"/>
      <c r="K12" s="107"/>
      <c r="L12" s="107"/>
      <c r="M12" s="107"/>
      <c r="N12"/>
      <c r="O12"/>
    </row>
    <row r="13" spans="1:26" ht="18" thickTop="1">
      <c r="A13" s="29" t="s">
        <v>83</v>
      </c>
      <c r="B13" s="108">
        <v>16</v>
      </c>
      <c r="C13" s="108">
        <v>12</v>
      </c>
      <c r="D13" s="108">
        <v>8</v>
      </c>
      <c r="E13" s="108">
        <v>4</v>
      </c>
      <c r="F13" s="108">
        <v>4</v>
      </c>
      <c r="G13" s="108">
        <v>4</v>
      </c>
      <c r="H13" s="108">
        <v>16</v>
      </c>
      <c r="I13" s="108">
        <v>12</v>
      </c>
      <c r="J13" s="108">
        <v>8</v>
      </c>
      <c r="K13" s="108">
        <v>6</v>
      </c>
      <c r="L13" s="110"/>
      <c r="M13" s="110"/>
      <c r="N13" s="107"/>
      <c r="O13" s="107"/>
      <c r="P13" s="107"/>
      <c r="Q13" s="107"/>
    </row>
    <row r="14" spans="1:26" ht="17.25">
      <c r="A14" s="33" t="s">
        <v>84</v>
      </c>
      <c r="B14" s="34">
        <v>40</v>
      </c>
      <c r="C14" s="34">
        <v>36</v>
      </c>
      <c r="D14" s="34">
        <v>28</v>
      </c>
      <c r="E14" s="34">
        <v>24</v>
      </c>
      <c r="F14" s="34">
        <v>24</v>
      </c>
      <c r="G14" s="34">
        <v>24</v>
      </c>
      <c r="H14" s="34">
        <v>128</v>
      </c>
      <c r="I14" s="34">
        <v>64</v>
      </c>
      <c r="J14" s="34">
        <v>48</v>
      </c>
      <c r="K14" s="34">
        <v>32</v>
      </c>
      <c r="L14" s="35"/>
      <c r="M14" s="35"/>
      <c r="N14" s="107"/>
      <c r="O14" s="107"/>
      <c r="P14" s="107"/>
      <c r="Q14" s="107"/>
    </row>
    <row r="15" spans="1:26" ht="17.25">
      <c r="A15" s="17" t="s">
        <v>85</v>
      </c>
      <c r="B15" s="111" t="s">
        <v>184</v>
      </c>
      <c r="C15" s="111" t="s">
        <v>185</v>
      </c>
      <c r="D15" s="111" t="s">
        <v>186</v>
      </c>
      <c r="E15" s="111" t="s">
        <v>97</v>
      </c>
      <c r="F15" s="111" t="s">
        <v>98</v>
      </c>
      <c r="G15" s="111" t="s">
        <v>115</v>
      </c>
      <c r="H15" s="111" t="s">
        <v>181</v>
      </c>
      <c r="I15" s="111" t="s">
        <v>182</v>
      </c>
      <c r="J15" s="111" t="s">
        <v>183</v>
      </c>
      <c r="K15" s="111" t="s">
        <v>187</v>
      </c>
      <c r="L15" s="113"/>
      <c r="M15" s="113"/>
      <c r="N15" s="107"/>
      <c r="O15" s="107"/>
      <c r="P15" s="107"/>
      <c r="Q15" s="107"/>
    </row>
    <row r="16" spans="1:26" ht="17.25">
      <c r="A16" s="48" t="s">
        <v>93</v>
      </c>
      <c r="B16" s="100">
        <v>1</v>
      </c>
      <c r="C16" s="100">
        <v>1</v>
      </c>
      <c r="D16" s="100">
        <v>1</v>
      </c>
      <c r="E16" s="100">
        <v>1</v>
      </c>
      <c r="F16" s="100">
        <v>1</v>
      </c>
      <c r="G16" s="100">
        <v>1</v>
      </c>
      <c r="H16" s="100">
        <v>1</v>
      </c>
      <c r="I16" s="100">
        <v>1</v>
      </c>
      <c r="J16" s="100">
        <v>1</v>
      </c>
      <c r="K16" s="100">
        <v>1</v>
      </c>
      <c r="L16" s="115"/>
      <c r="M16" s="115"/>
      <c r="N16" s="107"/>
      <c r="O16" s="107"/>
      <c r="P16" s="107"/>
      <c r="Q16" s="107"/>
    </row>
    <row r="17" spans="1:17" ht="17.25">
      <c r="A17" s="48" t="s">
        <v>94</v>
      </c>
      <c r="B17" s="116">
        <v>0</v>
      </c>
      <c r="C17" s="116">
        <v>0</v>
      </c>
      <c r="D17" s="116">
        <v>0</v>
      </c>
      <c r="E17" s="116">
        <v>0</v>
      </c>
      <c r="F17" s="116">
        <v>1</v>
      </c>
      <c r="G17" s="116">
        <v>0</v>
      </c>
      <c r="H17" s="116">
        <v>0</v>
      </c>
      <c r="I17" s="116">
        <v>0</v>
      </c>
      <c r="J17" s="116">
        <v>0</v>
      </c>
      <c r="K17" s="116">
        <v>1</v>
      </c>
      <c r="L17" s="115"/>
      <c r="M17" s="115"/>
      <c r="N17" s="107"/>
      <c r="O17" s="107"/>
      <c r="P17" s="107"/>
      <c r="Q17" s="107"/>
    </row>
    <row r="18" spans="1:17" ht="17.25">
      <c r="A18" s="17" t="s">
        <v>95</v>
      </c>
      <c r="B18" s="116"/>
      <c r="C18" s="116"/>
      <c r="D18" s="116"/>
      <c r="E18" s="116"/>
      <c r="F18" s="116"/>
      <c r="G18" s="116"/>
      <c r="H18" s="116"/>
      <c r="I18" s="116"/>
      <c r="J18" s="116"/>
      <c r="K18" s="116"/>
      <c r="L18" s="115"/>
      <c r="M18" s="115"/>
      <c r="N18" s="117"/>
      <c r="O18" s="117"/>
      <c r="P18" s="117"/>
      <c r="Q18" s="117"/>
    </row>
    <row r="19" spans="1:17" ht="17.25">
      <c r="A19" s="17" t="s">
        <v>96</v>
      </c>
      <c r="B19" s="111" t="str">
        <f>IF(AND(B13&gt;=('NVR Worksheet'!H4+1),B14&gt;='NVR Worksheet'!I3,('NVR Worksheet'!H4+1)&gt;C13),B15,IF(AND('NVR Worksheet'!I3&gt;C14,B13&gt;=('NVR Worksheet'!H4+1),B14&gt;='NVR Worksheet'!I3),B15,""))</f>
        <v/>
      </c>
      <c r="C19" s="111" t="str">
        <f>IF(AND(C13&gt;=('NVR Worksheet'!H4+1),C14&gt;='NVR Worksheet'!I3,('NVR Worksheet'!H4+1)&gt;D13),C15,IF(AND('NVR Worksheet'!I3&gt;D14,C13&gt;=('NVR Worksheet'!H4+1),C14&gt;='NVR Worksheet'!I3),C15,""))</f>
        <v/>
      </c>
      <c r="D19" s="111" t="str">
        <f>IF(AND(D13&gt;=('NVR Worksheet'!H4+1),D14&gt;='NVR Worksheet'!I3,('NVR Worksheet'!H4+1)&gt;G13),D15,IF(AND('NVR Worksheet'!I3&gt;E14,D13&gt;=('NVR Worksheet'!H4+1),D14&gt;='NVR Worksheet'!I3),D15,""))</f>
        <v/>
      </c>
      <c r="E19" s="111" t="str">
        <f>IF(AND('NVR Worksheet'!$C$1="Enterprise",E13&gt;=('NVR Worksheet'!H4+1),E14&gt;='NVR Worksheet'!I3,('NVR Worksheet'!H4+1)&gt;2),E15,IF(AND('NVR Worksheet'!I3&gt;=1,E13&gt;=('NVR Worksheet'!H4+1),E14&gt;='NVR Worksheet'!I3),E15,""))</f>
        <v/>
      </c>
      <c r="F19" s="111" t="str">
        <f>IF(AND(F13&gt;='NVR Worksheet'!H4+1,F14&gt;='NVR Worksheet'!I3,'NVR Worksheet'!H4+1&gt;2),F15,IF(AND('NVR Worksheet'!I3&gt;=1,F13&gt;='NVR Worksheet'!H4+1,F14&gt;='NVR Worksheet'!I3),F15,""))</f>
        <v/>
      </c>
      <c r="G19" s="111" t="str">
        <f>IF(AND('NVR Worksheet'!$C$1="Standalone",G13&gt;='NVR Worksheet'!H4+1,G14&gt;='NVR Worksheet'!I3,'NVR Worksheet'!H4+1&gt;2),G15,IF(AND('NVR Worksheet'!I3&gt;=1,G13&gt;='NVR Worksheet'!H4+1,G14&gt;='NVR Worksheet'!I3),G15,""))</f>
        <v/>
      </c>
      <c r="H19" s="111" t="str">
        <f>IF(AND(H13&gt;=('NVR Worksheet'!H4+1),H14&gt;='NVR Worksheet'!I3,('NVR Worksheet'!H4+1)&gt;I13),H15,IF(AND('NVR Worksheet'!I3&gt;I14,H13&gt;=('NVR Worksheet'!H4+1),H14&gt;='NVR Worksheet'!I3),H15,""))</f>
        <v/>
      </c>
      <c r="I19" s="111" t="str">
        <f>IF(AND(I13&gt;=('NVR Worksheet'!H4+1),I14&gt;='NVR Worksheet'!I3,('NVR Worksheet'!H4+1)&gt;J13),I15,IF(AND('NVR Worksheet'!I3&gt;J14,I13&gt;=('NVR Worksheet'!H4+1),I14&gt;='NVR Worksheet'!I3),I15,""))</f>
        <v/>
      </c>
      <c r="J19" s="111" t="str">
        <f>IF(AND(J13&gt;=('NVR Worksheet'!H4+1),J14&gt;='NVR Worksheet'!I3,('NVR Worksheet'!H4+1)&gt;N13),J15,IF(AND('NVR Worksheet'!I3&gt;L14,J13&gt;=('NVR Worksheet'!H4+1),J14&gt;='NVR Worksheet'!I3),J15,""))</f>
        <v/>
      </c>
      <c r="K19" s="111" t="str">
        <f>IF(AND(K13&gt;='NVR Worksheet'!H4+1,K14&gt;='NVR Worksheet'!I3,'NVR Worksheet'!H4+1&gt;2),K15,IF(AND('NVR Worksheet'!I3&gt;=1,K13&gt;='NVR Worksheet'!H4+1,K14&gt;='NVR Worksheet'!I3),K15,""))</f>
        <v/>
      </c>
      <c r="L19" s="111" t="str">
        <f>IF(OR('NVR Worksheet'!H4+4&gt;88,'NVR Worksheet'!I3&gt;40),"Add NVR","")</f>
        <v/>
      </c>
      <c r="M19" s="111" t="str">
        <f>IF(AND(F19="",K19=""),"No Supported NVR Model","")</f>
        <v>No Supported NVR Model</v>
      </c>
      <c r="N19" s="117"/>
      <c r="O19" s="117"/>
      <c r="P19" s="117"/>
      <c r="Q19" s="117"/>
    </row>
    <row r="20" spans="1:17" ht="17.25">
      <c r="A20" s="43"/>
      <c r="B20" s="118"/>
      <c r="C20" s="118"/>
      <c r="D20" s="118"/>
      <c r="E20" s="118"/>
      <c r="F20" s="118"/>
      <c r="G20" s="118"/>
      <c r="H20" s="118"/>
      <c r="I20" s="118"/>
      <c r="J20" s="118"/>
      <c r="K20" s="118"/>
      <c r="L20" s="119"/>
      <c r="M20" s="119"/>
      <c r="N20" s="117"/>
      <c r="O20" s="117"/>
      <c r="P20" s="117"/>
      <c r="Q20" s="117"/>
    </row>
    <row r="21" spans="1:17" ht="17.25">
      <c r="A21" s="48"/>
      <c r="B21" s="100"/>
      <c r="C21" s="100"/>
      <c r="D21" s="100"/>
      <c r="E21" s="100"/>
      <c r="F21" s="100"/>
      <c r="N21"/>
      <c r="O21"/>
    </row>
    <row r="22" spans="1:17" ht="16.5" thickBot="1">
      <c r="A22" s="106" t="s">
        <v>82</v>
      </c>
      <c r="B22" s="107"/>
      <c r="C22" s="107"/>
      <c r="E22" s="106" t="s">
        <v>128</v>
      </c>
      <c r="F22" s="107"/>
      <c r="G22" s="107"/>
      <c r="N22"/>
      <c r="O22"/>
    </row>
    <row r="23" spans="1:17" ht="18" thickTop="1">
      <c r="A23" s="29" t="s">
        <v>83</v>
      </c>
      <c r="B23" s="108">
        <v>64</v>
      </c>
      <c r="C23" s="108">
        <v>60</v>
      </c>
      <c r="D23" s="3">
        <f>SUM('NVR Worksheet'!F8+'NVR Worksheet'!F21+'NVR Worksheet'!F34+'NVR Worksheet'!F47+'NVR Worksheet'!F60)</f>
        <v>2</v>
      </c>
      <c r="E23" s="29" t="s">
        <v>83</v>
      </c>
      <c r="F23" s="108">
        <v>64</v>
      </c>
      <c r="G23" s="108">
        <v>60</v>
      </c>
      <c r="N23"/>
      <c r="O23"/>
    </row>
    <row r="24" spans="1:17" ht="17.25">
      <c r="A24" s="33" t="s">
        <v>84</v>
      </c>
      <c r="B24" s="34">
        <v>64</v>
      </c>
      <c r="C24" s="34">
        <v>48</v>
      </c>
      <c r="D24" s="3">
        <f>'NVR Worksheet'!H4</f>
        <v>18</v>
      </c>
      <c r="E24" s="33" t="s">
        <v>84</v>
      </c>
      <c r="F24" s="34">
        <v>128</v>
      </c>
      <c r="G24" s="34">
        <v>64</v>
      </c>
      <c r="N24"/>
      <c r="O24"/>
    </row>
    <row r="25" spans="1:17" ht="17.25">
      <c r="A25" s="17" t="s">
        <v>85</v>
      </c>
      <c r="B25" s="111" t="s">
        <v>126</v>
      </c>
      <c r="C25" s="111" t="s">
        <v>127</v>
      </c>
      <c r="E25" s="17" t="s">
        <v>85</v>
      </c>
      <c r="F25" s="111" t="s">
        <v>179</v>
      </c>
      <c r="G25" s="111" t="s">
        <v>180</v>
      </c>
      <c r="H25" s="111"/>
      <c r="I25" s="111"/>
      <c r="N25"/>
      <c r="O25"/>
    </row>
    <row r="26" spans="1:17" ht="17.25">
      <c r="A26" s="48" t="s">
        <v>93</v>
      </c>
      <c r="B26" s="100">
        <v>1</v>
      </c>
      <c r="C26" s="100">
        <v>1</v>
      </c>
      <c r="E26" s="48" t="s">
        <v>93</v>
      </c>
      <c r="F26" s="100">
        <v>1</v>
      </c>
      <c r="G26" s="100">
        <v>1</v>
      </c>
      <c r="H26" s="121"/>
      <c r="I26" s="121"/>
      <c r="N26"/>
      <c r="O26"/>
    </row>
    <row r="27" spans="1:17" ht="17.25">
      <c r="A27" s="48" t="s">
        <v>94</v>
      </c>
      <c r="B27" s="116">
        <v>0</v>
      </c>
      <c r="C27" s="116">
        <v>0</v>
      </c>
      <c r="E27" s="48" t="s">
        <v>94</v>
      </c>
      <c r="F27" s="116">
        <v>0</v>
      </c>
      <c r="G27" s="116">
        <v>0</v>
      </c>
      <c r="N27"/>
      <c r="O27"/>
    </row>
    <row r="28" spans="1:17" ht="17.25">
      <c r="A28" s="17" t="s">
        <v>95</v>
      </c>
      <c r="B28" s="116"/>
      <c r="C28" s="116"/>
      <c r="E28" s="17" t="s">
        <v>95</v>
      </c>
      <c r="F28" s="116" t="str">
        <f>C43&amp;F43&amp;B43&amp;D43&amp;E43</f>
        <v/>
      </c>
      <c r="G28" s="116"/>
      <c r="N28"/>
      <c r="O28"/>
    </row>
    <row r="29" spans="1:17" ht="17.25">
      <c r="A29" s="17" t="s">
        <v>96</v>
      </c>
      <c r="B29" s="111" t="str">
        <f>IF(D23&lt;=16,IF(AND(B23&gt;='NVR Worksheet'!H4,B24&gt;='NVR Worksheet'!H3,'NVR Worksheet'!H4&gt;16),IF(OR('NVR Worksheet'!H3&gt;48,'NVR Worksheet'!H4&gt;84,D23&gt;12),B25,""),""),"")</f>
        <v/>
      </c>
      <c r="C29" s="111" t="str">
        <f>IF(D23&lt;=12,IF(AND(C23&gt;'NVR Worksheet'!H4,C24&gt;='NVR Worksheet'!H3,'NVR Worksheet'!H4&gt;16,'NVR Worksheet'!H3&lt;49),C25,""),"")</f>
        <v>M630-C048-JB</v>
      </c>
      <c r="E29" s="17" t="s">
        <v>96</v>
      </c>
      <c r="F29" s="111" t="str">
        <f>IF(D23&lt;=4,IF(AND(F23&gt;=('NVR Worksheet'!H4+3),F24&gt;='NVR Worksheet'!H3,('NVR Worksheet'!H4)&gt;15),IF(OR('NVR Worksheet'!H3&gt;G24,('NVR Worksheet'!H4+3)&gt;G23),F25,""),""),"")</f>
        <v/>
      </c>
      <c r="G29" s="111" t="str">
        <f>IF(D23&lt;=4,IF(AND(G23&gt;('NVR Worksheet'!H4+4),G24&gt;='NVR Worksheet'!I3,('NVR Worksheet'!H4)&gt;12,'NVR Worksheet'!I3&lt;=64),G25,""),"")</f>
        <v>M635-C064-JB</v>
      </c>
      <c r="H29" s="122" t="str">
        <f>F29</f>
        <v/>
      </c>
      <c r="I29" s="122" t="str">
        <f>G29</f>
        <v>M635-C064-JB</v>
      </c>
      <c r="N29"/>
      <c r="O29"/>
    </row>
    <row r="30" spans="1:17" ht="17.25">
      <c r="A30" s="43"/>
      <c r="B30" s="111"/>
      <c r="C30" s="111"/>
      <c r="E30" s="43"/>
      <c r="F30" s="111"/>
      <c r="G30" s="111"/>
      <c r="N30"/>
      <c r="O30"/>
    </row>
    <row r="31" spans="1:17" ht="17.25">
      <c r="A31" s="48"/>
      <c r="B31" s="100"/>
      <c r="C31" s="100"/>
    </row>
    <row r="32" spans="1:17" ht="16.5" thickBot="1">
      <c r="A32" s="106" t="s">
        <v>131</v>
      </c>
      <c r="B32" s="107"/>
      <c r="C32" s="107"/>
      <c r="D32" s="107"/>
      <c r="E32" s="107"/>
      <c r="F32" s="107"/>
      <c r="G32" s="107"/>
      <c r="H32" s="107"/>
      <c r="I32" s="107"/>
      <c r="J32" s="107"/>
    </row>
    <row r="33" spans="1:15" ht="18.75" thickTop="1" thickBot="1">
      <c r="A33" s="29" t="s">
        <v>134</v>
      </c>
      <c r="B33" s="108">
        <v>32</v>
      </c>
      <c r="C33" s="108">
        <v>40</v>
      </c>
      <c r="D33" s="108">
        <v>48</v>
      </c>
      <c r="E33" s="108">
        <v>56</v>
      </c>
      <c r="F33" s="108">
        <v>64</v>
      </c>
      <c r="G33" s="110"/>
      <c r="M33"/>
      <c r="N33"/>
      <c r="O33"/>
    </row>
    <row r="34" spans="1:15" ht="18" thickTop="1">
      <c r="A34" s="29" t="s">
        <v>135</v>
      </c>
      <c r="B34" s="111">
        <v>28</v>
      </c>
      <c r="C34" s="111">
        <v>36</v>
      </c>
      <c r="D34" s="111">
        <v>44</v>
      </c>
      <c r="E34" s="111">
        <v>52</v>
      </c>
      <c r="F34" s="111">
        <v>60</v>
      </c>
      <c r="G34" s="113"/>
      <c r="M34"/>
      <c r="N34"/>
      <c r="O34"/>
    </row>
    <row r="35" spans="1:15" ht="17.25">
      <c r="A35" s="17" t="s">
        <v>136</v>
      </c>
      <c r="B35" s="111" t="s">
        <v>124</v>
      </c>
      <c r="C35" s="111" t="s">
        <v>122</v>
      </c>
      <c r="D35" s="111" t="s">
        <v>125</v>
      </c>
      <c r="E35" s="111" t="s">
        <v>143</v>
      </c>
      <c r="F35" s="111" t="s">
        <v>123</v>
      </c>
      <c r="G35" s="115"/>
      <c r="M35"/>
      <c r="N35"/>
      <c r="O35"/>
    </row>
    <row r="36" spans="1:15" ht="17.25">
      <c r="A36" s="17" t="s">
        <v>144</v>
      </c>
      <c r="B36" s="111" t="str">
        <f>IF(AND('NVR Worksheet'!H4&gt;16,'NVR Worksheet'!H4&lt;33,'NVR Worksheet'!$H$9=$B$25),B35,"")</f>
        <v/>
      </c>
      <c r="C36" s="111" t="str">
        <f>IF(AND('NVR Worksheet'!H4&gt;32,'NVR Worksheet'!H4&lt;41,'NVR Worksheet'!$H$9=$B$25),C35,"")</f>
        <v/>
      </c>
      <c r="D36" s="111" t="str">
        <f>IF(AND('NVR Worksheet'!H4&gt;40,'NVR Worksheet'!H4&lt;49,'NVR Worksheet'!$H$9=$B$25),D35,"")</f>
        <v/>
      </c>
      <c r="E36" s="111" t="str">
        <f>IF(AND('NVR Worksheet'!H4&gt;48,'NVR Worksheet'!H4&lt;57,'NVR Worksheet'!$H$9=$B$25),E35,"")</f>
        <v/>
      </c>
      <c r="F36" s="111" t="str">
        <f>IF(AND('NVR Worksheet'!H4&gt;56,'NVR Worksheet'!H4&lt;65,'NVR Worksheet'!$H$9=$B$25),F35,"")</f>
        <v/>
      </c>
      <c r="G36" s="111" t="str">
        <f>IF(AND($B$36="",$C$36="",$D$36="",$E$36="",$F$36=""),"None","")</f>
        <v>None</v>
      </c>
      <c r="H36" s="126" t="str">
        <f>IF(AND($G$36="None",$G$37="None"),"None","")</f>
        <v/>
      </c>
      <c r="M36"/>
      <c r="N36"/>
      <c r="O36"/>
    </row>
    <row r="37" spans="1:15" ht="17.25">
      <c r="A37" s="17" t="s">
        <v>145</v>
      </c>
      <c r="B37" s="118" t="str">
        <f>IF(AND('NVR Worksheet'!H4&gt;12,'NVR Worksheet'!H4&lt;29,'NVR Worksheet'!$H$9=$C$25),B35,"")</f>
        <v>M830 x 1</v>
      </c>
      <c r="C37" s="118" t="str">
        <f>IF(AND('NVR Worksheet'!H4&gt;28,'NVR Worksheet'!H4&lt;37,'NVR Worksheet'!$H$9=$C$25),C35,"")</f>
        <v/>
      </c>
      <c r="D37" s="118" t="str">
        <f>IF(AND('NVR Worksheet'!H4&gt;36,'NVR Worksheet'!H4&lt;45,'NVR Worksheet'!$H$9=$C$25),D35,"")</f>
        <v/>
      </c>
      <c r="E37" s="118" t="str">
        <f>IF(AND('NVR Worksheet'!H4&gt;44,'NVR Worksheet'!H4&lt;53,'NVR Worksheet'!$H$9=$C$25),E35,"")</f>
        <v/>
      </c>
      <c r="F37" s="118" t="str">
        <f>IF(AND('NVR Worksheet'!H4&gt;52,'NVR Worksheet'!H4&lt;61,'NVR Worksheet'!$H$9=$C$25),F35,"")</f>
        <v/>
      </c>
      <c r="G37" s="111" t="str">
        <f>IF(AND($B$37="",$C$37="",$D$37="",$E$37="",$F$37=""),"None","")</f>
        <v/>
      </c>
      <c r="M37"/>
      <c r="N37"/>
      <c r="O37"/>
    </row>
    <row r="38" spans="1:15">
      <c r="M38"/>
      <c r="N38"/>
      <c r="O38"/>
    </row>
    <row r="39" spans="1:15" ht="16.5" thickBot="1">
      <c r="A39" s="106" t="s">
        <v>132</v>
      </c>
      <c r="B39" s="107"/>
      <c r="C39" s="107"/>
      <c r="D39" s="107"/>
      <c r="E39" s="107"/>
      <c r="F39" s="107"/>
      <c r="G39" s="107"/>
      <c r="M39"/>
      <c r="N39"/>
      <c r="O39"/>
    </row>
    <row r="40" spans="1:15" ht="18.75" thickTop="1" thickBot="1">
      <c r="A40" s="29" t="s">
        <v>134</v>
      </c>
      <c r="B40" s="108">
        <v>32</v>
      </c>
      <c r="C40" s="108">
        <v>40</v>
      </c>
      <c r="D40" s="108">
        <v>48</v>
      </c>
      <c r="E40" s="108">
        <v>56</v>
      </c>
      <c r="F40" s="108">
        <v>64</v>
      </c>
      <c r="G40" s="110"/>
      <c r="M40"/>
      <c r="N40"/>
      <c r="O40"/>
    </row>
    <row r="41" spans="1:15" ht="18" thickTop="1">
      <c r="A41" s="29" t="s">
        <v>135</v>
      </c>
      <c r="B41" s="111">
        <v>28</v>
      </c>
      <c r="C41" s="111">
        <v>36</v>
      </c>
      <c r="D41" s="111">
        <v>44</v>
      </c>
      <c r="E41" s="111">
        <v>52</v>
      </c>
      <c r="F41" s="111">
        <v>60</v>
      </c>
      <c r="G41" s="113"/>
      <c r="M41"/>
      <c r="N41"/>
      <c r="O41"/>
    </row>
    <row r="42" spans="1:15" ht="17.25">
      <c r="A42" s="17" t="s">
        <v>136</v>
      </c>
      <c r="B42" s="111" t="s">
        <v>124</v>
      </c>
      <c r="C42" s="111" t="s">
        <v>122</v>
      </c>
      <c r="D42" s="111" t="s">
        <v>125</v>
      </c>
      <c r="E42" s="111" t="s">
        <v>143</v>
      </c>
      <c r="F42" s="111" t="s">
        <v>123</v>
      </c>
      <c r="G42" s="115"/>
      <c r="M42"/>
      <c r="N42"/>
      <c r="O42"/>
    </row>
    <row r="43" spans="1:15" ht="17.25">
      <c r="A43" s="17" t="s">
        <v>144</v>
      </c>
      <c r="B43" s="111" t="str">
        <f>IF(AND(('NVR Worksheet'!H4+2)&gt;16,('NVR Worksheet'!H4+2)&lt;33,'NVR Worksheet'!$I$9=$F$25),B42,"")</f>
        <v/>
      </c>
      <c r="C43" s="111" t="str">
        <f>IF(AND(('NVR Worksheet'!H4+2)&gt;32,('NVR Worksheet'!H4+2)&lt;41,'NVR Worksheet'!$I$9=$F$25),C42,"")</f>
        <v/>
      </c>
      <c r="D43" s="111" t="str">
        <f>IF(AND(('NVR Worksheet'!H4+3)&gt;40,('NVR Worksheet'!H4+3)&lt;49,'NVR Worksheet'!$I$9=$F$25),D42,"")</f>
        <v/>
      </c>
      <c r="E43" s="111" t="str">
        <f>IF(AND(('NVR Worksheet'!H4+3)&gt;48,('NVR Worksheet'!H4+3)&lt;57,'NVR Worksheet'!$I$9=$F$25),E42,"")</f>
        <v/>
      </c>
      <c r="F43" s="111" t="str">
        <f>IF(AND(('NVR Worksheet'!H4+3)&gt;56,('NVR Worksheet'!H4+3)&lt;65,$F$29=$F$25),F42,"")</f>
        <v/>
      </c>
      <c r="G43" s="111" t="str">
        <f>IF(AND($B$43="",$C$43="",$D$43="",$E$43="",$F$43=""),"None","")</f>
        <v>None</v>
      </c>
      <c r="H43" s="126" t="str">
        <f>IF(AND($G$43="None",$G$44="None"),"None","")</f>
        <v/>
      </c>
      <c r="M43"/>
      <c r="N43"/>
      <c r="O43"/>
    </row>
    <row r="44" spans="1:15" ht="17.25">
      <c r="A44" s="17" t="s">
        <v>145</v>
      </c>
      <c r="B44" s="118" t="str">
        <f>IF(AND(('NVR Worksheet'!H4+2)&gt;12,('NVR Worksheet'!H4+2)&lt;29,'NVR Worksheet'!$I$9=$G$25),B42,"")</f>
        <v>M830 x 1</v>
      </c>
      <c r="C44" s="118" t="str">
        <f>IF(AND(('NVR Worksheet'!H4+2)&gt;28,('NVR Worksheet'!H4+2)&lt;37,'NVR Worksheet'!$I$9=$G$25),C42,"")</f>
        <v/>
      </c>
      <c r="D44" s="118" t="str">
        <f>IF(AND(('NVR Worksheet'!H4+3)&gt;36,('NVR Worksheet'!H4+3)&lt;45,'NVR Worksheet'!$I$9=$G$25),D42,"")</f>
        <v/>
      </c>
      <c r="E44" s="118" t="str">
        <f>IF(AND(('NVR Worksheet'!H4+3)&gt;44,('NVR Worksheet'!H4+3)&lt;53,'NVR Worksheet'!$I$9=$G$25),E42,"")</f>
        <v/>
      </c>
      <c r="F44" s="118" t="str">
        <f>IF(AND(('NVR Worksheet'!H4+3)&gt;52,('NVR Worksheet'!H4+3)&lt;61,'NVR Worksheet'!$I$9=$G$25),F42,"")</f>
        <v/>
      </c>
      <c r="G44" s="111" t="str">
        <f>IF(AND($B$44="",$C$44="",$D$44="",$E$44="",$F$44=""),"None","")</f>
        <v/>
      </c>
      <c r="M44"/>
      <c r="N44"/>
      <c r="O44"/>
    </row>
    <row r="45" spans="1:15">
      <c r="B45" s="3">
        <f>IF(OR(B43&lt;&gt;"",B44&lt;&gt;""),2,0)</f>
        <v>2</v>
      </c>
      <c r="C45" s="3">
        <f>IF(OR(C43&lt;&gt;"",C44&lt;&gt;""),2,0)</f>
        <v>0</v>
      </c>
      <c r="D45" s="3">
        <f>IF(OR(D43&lt;&gt;"",D44&lt;&gt;""),3,0)</f>
        <v>0</v>
      </c>
      <c r="E45" s="3">
        <f>IF(OR(E43&lt;&gt;"",E44&lt;&gt;""),3,0)</f>
        <v>0</v>
      </c>
      <c r="F45" s="3">
        <f>IF(OR(F43&lt;&gt;"",F44&lt;&gt;""),3,0)</f>
        <v>0</v>
      </c>
      <c r="M45"/>
      <c r="N45"/>
      <c r="O45"/>
    </row>
    <row r="46" spans="1:15" ht="17.25">
      <c r="B46" s="111"/>
      <c r="C46" s="111"/>
      <c r="D46" s="111"/>
      <c r="E46" s="111"/>
      <c r="F46" s="111"/>
      <c r="M46"/>
      <c r="N46"/>
      <c r="O4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已命名的範圍</vt:lpstr>
      </vt:variant>
      <vt:variant>
        <vt:i4>2</vt:i4>
      </vt:variant>
    </vt:vector>
  </HeadingPairs>
  <TitlesOfParts>
    <vt:vector size="6" baseType="lpstr">
      <vt:lpstr>Storage Calculation</vt:lpstr>
      <vt:lpstr>Storage Days Calculation</vt:lpstr>
      <vt:lpstr>NVR Worksheet</vt:lpstr>
      <vt:lpstr>Data</vt:lpstr>
      <vt:lpstr>'Storage Calculation'!Print_Area</vt:lpstr>
      <vt:lpstr>'Storage Days Calculation'!Print_Area</vt:lpstr>
    </vt:vector>
  </TitlesOfParts>
  <Company>GVD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TonyTang</dc:creator>
  <cp:lastModifiedBy>TonyTang</cp:lastModifiedBy>
  <cp:lastPrinted>2010-06-25T07:13:16Z</cp:lastPrinted>
  <dcterms:created xsi:type="dcterms:W3CDTF">2010-06-25T06:16:59Z</dcterms:created>
  <dcterms:modified xsi:type="dcterms:W3CDTF">2012-08-17T03:24:30Z</dcterms:modified>
</cp:coreProperties>
</file>